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7.xml" ContentType="application/vnd.openxmlformats-officedocument.spreadsheetml.worksheet+xml"/>
  <Override PartName="/xl/worksheets/sheet26.xml" ContentType="application/vnd.openxmlformats-officedocument.spreadsheetml.worksheet+xml"/>
  <Override PartName="/xl/worksheets/sheet30.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3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custom.xml" ContentType="application/vnd.openxmlformats-officedocument.custom-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2.xml" ContentType="application/vnd.openxmlformats-officedocument.spreadsheetml.externalLink+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1011-Prog Seg Proyectos\2019\1011377 PLANES\377.3 PLAN DE ACCION ANUAL\IV TRIM PLAN ACC 2018\"/>
    </mc:Choice>
  </mc:AlternateContent>
  <bookViews>
    <workbookView xWindow="32760" yWindow="32760" windowWidth="14160" windowHeight="10920" tabRatio="953" firstSheet="2" activeTab="2"/>
  </bookViews>
  <sheets>
    <sheet name="Entregados" sheetId="2" state="hidden" r:id="rId1"/>
    <sheet name="PA 2018 - UAEAC" sheetId="24" r:id="rId2"/>
    <sheet name="CONSOLIDADO" sheetId="48" r:id="rId3"/>
    <sheet name="PRENSA DG" sheetId="23" r:id="rId4"/>
    <sheet name="SUBDIRECCION" sheetId="26" r:id="rId5"/>
    <sheet name="OAP" sheetId="62" r:id="rId6"/>
    <sheet name="OTA" sheetId="61" r:id="rId7"/>
    <sheet name="OCI INICIAL" sheetId="28" state="hidden" r:id="rId8"/>
    <sheet name="OCI" sheetId="50" r:id="rId9"/>
    <sheet name="CEA" sheetId="29" r:id="rId10"/>
    <sheet name="OAJ" sheetId="30" r:id="rId11"/>
    <sheet name="COMERCIALIZACIÓN" sheetId="56" r:id="rId12"/>
    <sheet name="OFI. REGISTRO" sheetId="49" r:id="rId13"/>
    <sheet name=" SSO" sheetId="58" r:id="rId14"/>
    <sheet name="SSO DIR TEL" sheetId="60" r:id="rId15"/>
    <sheet name="SSO DIA" sheetId="34" r:id="rId16"/>
    <sheet name="SSO DSNA" sheetId="57" r:id="rId17"/>
    <sheet name="SSO DSA" sheetId="36" r:id="rId18"/>
    <sheet name="SSO GRUPO PROYECTOS" sheetId="37" r:id="rId19"/>
    <sheet name="SSO GRUPO PLANIFICACION AEROP" sheetId="38" r:id="rId20"/>
    <sheet name="SMS-QA" sheetId="52" r:id="rId21"/>
    <sheet name="COOR SEG SERV OPER" sheetId="53" r:id="rId22"/>
    <sheet name="SEC SEG OPERAC Y AVIAC CIVIL" sheetId="46" r:id="rId23"/>
    <sheet name="SECRETARIA GENERAL" sheetId="44" r:id="rId24"/>
    <sheet name="SEC GRAL DIR FRA" sheetId="41" r:id="rId25"/>
    <sheet name="SEC GRAL DIR ADM" sheetId="42" r:id="rId26"/>
    <sheet name="SEC GRAL DIR TH" sheetId="43" r:id="rId27"/>
    <sheet name="INFORMATICA" sheetId="54" r:id="rId28"/>
    <sheet name="COMPROMISOS TRANSVERSALES" sheetId="59" r:id="rId29"/>
    <sheet name="PA 2018 ENV AREAS " sheetId="12" state="hidden" r:id="rId30"/>
    <sheet name="MAPA PROCESOS" sheetId="15" state="hidden" r:id="rId31"/>
    <sheet name="IND PEI" sheetId="14" state="hidden" r:id="rId32"/>
    <sheet name="OBJ Y POLITICAS" sheetId="13" state="hidden" r:id="rId33"/>
    <sheet name="PNA COL INVERSIONES ANUALIZADAS" sheetId="10" state="hidden" r:id="rId34"/>
    <sheet name="INDICAD" sheetId="9" state="hidden" r:id="rId35"/>
    <sheet name="varios" sheetId="7" state="hidden" r:id="rId36"/>
    <sheet name="RESUMEN CUMP." sheetId="6" state="hidden" r:id="rId37"/>
    <sheet name="compromisos estrategicos" sheetId="4" state="hidden" r:id="rId38"/>
  </sheets>
  <externalReferences>
    <externalReference r:id="rId39"/>
    <externalReference r:id="rId40"/>
    <externalReference r:id="rId41"/>
    <externalReference r:id="rId42"/>
    <externalReference r:id="rId43"/>
    <externalReference r:id="rId44"/>
  </externalReferences>
  <definedNames>
    <definedName name="_xlnm._FilterDatabase" localSheetId="9" hidden="1">CEA!$A$3:$H$26</definedName>
    <definedName name="_xlnm._FilterDatabase" localSheetId="28" hidden="1">'COMPROMISOS TRANSVERSALES'!$A$3:$H$8</definedName>
    <definedName name="_xlnm._FilterDatabase" localSheetId="2" hidden="1">CONSOLIDADO!$A$2:$K$35</definedName>
    <definedName name="_xlnm._FilterDatabase" localSheetId="31" hidden="1">'IND PEI'!$A$2:$G$23</definedName>
    <definedName name="_xlnm._FilterDatabase" localSheetId="34" hidden="1">INDICAD!$A$2:$G$23</definedName>
    <definedName name="_xlnm._FilterDatabase" localSheetId="10" hidden="1">OAJ!$A$3:$H$15</definedName>
    <definedName name="_xlnm._FilterDatabase" localSheetId="8" hidden="1">OCI!$A$3:$H$9</definedName>
    <definedName name="_xlnm._FilterDatabase" localSheetId="7" hidden="1">'OCI INICIAL'!$C$3:$J$9</definedName>
    <definedName name="_xlnm._FilterDatabase" localSheetId="12" hidden="1">'OFI. REGISTRO'!$A$3:$H$7</definedName>
    <definedName name="_xlnm._FilterDatabase" localSheetId="1" hidden="1">'PA 2018 - UAEAC'!$A$3:$H$223</definedName>
    <definedName name="_xlnm._FilterDatabase" localSheetId="33" hidden="1">'PNA COL INVERSIONES ANUALIZADAS'!$A$8:$Z$8</definedName>
    <definedName name="_xlnm._FilterDatabase" localSheetId="3" hidden="1">'PRENSA DG'!$A$3:$H$11</definedName>
    <definedName name="_xlnm._FilterDatabase" localSheetId="25" hidden="1">'SEC GRAL DIR ADM'!$A$3:$H$13</definedName>
    <definedName name="_xlnm._FilterDatabase" localSheetId="24" hidden="1">'SEC GRAL DIR FRA'!$A$3:$H$13</definedName>
    <definedName name="_xlnm._FilterDatabase" localSheetId="26" hidden="1">'SEC GRAL DIR TH'!$A$3:$H$16</definedName>
    <definedName name="_xlnm._FilterDatabase" localSheetId="22" hidden="1">'SEC SEG OPERAC Y AVIAC CIVIL'!$A$3:$H$35</definedName>
    <definedName name="_xlnm._FilterDatabase" localSheetId="23" hidden="1">'SECRETARIA GENERAL'!$A$3:$H$14</definedName>
    <definedName name="_xlnm._FilterDatabase" localSheetId="15" hidden="1">'SSO DIA'!$A$3:$H$7</definedName>
    <definedName name="_xlnm._FilterDatabase" localSheetId="14" hidden="1">'SSO DIR TEL'!$A$3:$H$10</definedName>
    <definedName name="_xlnm._FilterDatabase" localSheetId="17" hidden="1">'SSO DSA'!$A$3:$H$10</definedName>
    <definedName name="_xlnm._FilterDatabase" localSheetId="19" hidden="1">'SSO GRUPO PLANIFICACION AEROP'!$A$3:$H$9</definedName>
    <definedName name="_xlnm._FilterDatabase" localSheetId="18" hidden="1">'SSO GRUPO PROYECTOS'!$A$3:$H$7</definedName>
    <definedName name="_xlnm._FilterDatabase" localSheetId="4" hidden="1">SUBDIRECCION!$C$3:$J$9</definedName>
    <definedName name="AñoDeInicioDelAñoFiscal" localSheetId="14">'[1]METAS C-O'!$AC$2</definedName>
    <definedName name="AñoDeInicioDelAñoFiscal">'[2]METAS C-O'!$AC$2</definedName>
    <definedName name="_xlnm.Print_Area" localSheetId="9">CEA!$A$1:$AJ$35</definedName>
    <definedName name="_xlnm.Print_Area" localSheetId="28">'COMPROMISOS TRANSVERSALES'!$A$1:$W$20</definedName>
    <definedName name="_xlnm.Print_Area" localSheetId="10">OAJ!$A$1:$AG$20</definedName>
    <definedName name="_xlnm.Print_Area" localSheetId="8">OCI!$A$1:$T$13</definedName>
    <definedName name="_xlnm.Print_Area" localSheetId="7">'OCI INICIAL'!$A$1:$V$13</definedName>
    <definedName name="_xlnm.Print_Area" localSheetId="12">'OFI. REGISTRO'!$A$1:$O$7</definedName>
    <definedName name="_xlnm.Print_Area" localSheetId="1">'PA 2018 - UAEAC'!$A$1:$J$224</definedName>
    <definedName name="_xlnm.Print_Area" localSheetId="29">'PA 2018 ENV AREAS '!$A$1:$X$240</definedName>
    <definedName name="_xlnm.Print_Area" localSheetId="33">'PNA COL INVERSIONES ANUALIZADAS'!$A$1:$W$969</definedName>
    <definedName name="_xlnm.Print_Area" localSheetId="3">'PRENSA DG'!$A$1:$AH$44</definedName>
    <definedName name="_xlnm.Print_Area" localSheetId="25">'SEC GRAL DIR ADM'!$A$1:$Y$18</definedName>
    <definedName name="_xlnm.Print_Area" localSheetId="24">'SEC GRAL DIR FRA'!$A$1:$W$13</definedName>
    <definedName name="_xlnm.Print_Area" localSheetId="26">'SEC GRAL DIR TH'!$A$1:$Z$17</definedName>
    <definedName name="_xlnm.Print_Area" localSheetId="22">'SEC SEG OPERAC Y AVIAC CIVIL'!$A$1:$T$40</definedName>
    <definedName name="_xlnm.Print_Area" localSheetId="23">'SECRETARIA GENERAL'!$A$1:$Y$14</definedName>
    <definedName name="_xlnm.Print_Area" localSheetId="15">'SSO DIA'!$A$1:$T$7</definedName>
    <definedName name="_xlnm.Print_Area" localSheetId="14">'SSO DIR TEL'!$A$1:$W$10</definedName>
    <definedName name="_xlnm.Print_Area" localSheetId="17">'SSO DSA'!$A$1:$T$12</definedName>
    <definedName name="_xlnm.Print_Area" localSheetId="19">'SSO GRUPO PLANIFICACION AEROP'!$A$1:$T$9</definedName>
    <definedName name="_xlnm.Print_Area" localSheetId="18">'SSO GRUPO PROYECTOS'!$A$1:$T$7</definedName>
    <definedName name="_xlnm.Print_Area" localSheetId="4">SUBDIRECCION!$A$1:$V$32</definedName>
    <definedName name="ColumnaDePeríodoSeleccionado" localSheetId="14">MATCH('SSO DIR TEL'!PeríodoSeleccionado,'SSO DIR TEL'!Períodos,0)</definedName>
    <definedName name="ColumnaDePeríodoSeleccionado">MATCH(PeríodoSeleccionado,Períodos,0)</definedName>
    <definedName name="Detail_I">'[3]Base detallada'!$H$3:$AK$100</definedName>
    <definedName name="detail16">'[4]Detalle Indicadores 2016'!$A$3:$AL$1025</definedName>
    <definedName name="FechaDeInicio" localSheetId="14">DATEVALUE(" 1 " &amp; 'SSO DIR TEL'!MesDeInicioSeleccionado &amp;  " " &amp; YEAR(TODAY()))</definedName>
    <definedName name="FechaDeInicio">DATEVALUE(" 1 " &amp; MesDeInicioSeleccionado &amp;  " " &amp; YEAR(TODAY()))</definedName>
    <definedName name="HojaProg">#REF!</definedName>
    <definedName name="id_nom">[3]Guía!$H$7:$I$57</definedName>
    <definedName name="indicadores">'[3]Base detallada'!$H$4:$H$64</definedName>
    <definedName name="lin_num">[4]Guía!$C$4:$D$41</definedName>
    <definedName name="MesDeInicioDelAñoFiscal" localSheetId="14">'[1]METAS C-O'!$AB$2</definedName>
    <definedName name="MesDeInicioDelAñoFiscal">'[2]METAS C-O'!$AB$2</definedName>
    <definedName name="MesDeInicioSeleccionado" localSheetId="14">'[1]METAS C-O'!$B$41</definedName>
    <definedName name="MesDeInicioSeleccionado">'[2]METAS C-O'!$B$41</definedName>
    <definedName name="Núm.MesAF" localSheetId="14">#VALUE!</definedName>
    <definedName name="Núm.MesAF">#VALUE!</definedName>
    <definedName name="num_detail">[3]Guía!$B$7:$C$36</definedName>
    <definedName name="num_sum">[3]Guía!$E$7:$F$17</definedName>
    <definedName name="Períodos" localSheetId="14">'[1]METAS C-O'!$D$43:$P$43</definedName>
    <definedName name="Períodos">'[2]METAS C-O'!$D$43:$P$43</definedName>
    <definedName name="PeríodoSeleccionado" localSheetId="14">INDEX('SSO DIR TEL'!Períodos,,ValorBarraDesplazamiento)</definedName>
    <definedName name="PeríodoSeleccionado">INDEX(Períodos,,ValorBarraDesplazamiento)</definedName>
    <definedName name="PrimerMes" localSheetId="14">UPPER(TEXT('SSO DIR TEL'!FechaDeInicio,"mmm "))</definedName>
    <definedName name="PrimerMes">UPPER(TEXT(FechaDeInicio,"mmm "))</definedName>
    <definedName name="PróximoMes" localSheetId="14">UPPER(TEXT(EOMONTH(VALUE('[1]METAS C-O'!XFD1 &amp; "1"),0)+1,"mmm "))</definedName>
    <definedName name="PróximoMes">UPPER(TEXT(EOMONTH(VALUE('[2]METAS C-O'!XFD1 &amp; "1"),0)+1,"mmm "))</definedName>
    <definedName name="SI" localSheetId="13">#REF!</definedName>
    <definedName name="SI" localSheetId="9">#REF!</definedName>
    <definedName name="SI" localSheetId="28">#REF!</definedName>
    <definedName name="SI" localSheetId="10">#REF!</definedName>
    <definedName name="SI" localSheetId="5">#REF!</definedName>
    <definedName name="SI" localSheetId="8">#REF!</definedName>
    <definedName name="SI" localSheetId="7">#REF!</definedName>
    <definedName name="SI" localSheetId="12">#REF!</definedName>
    <definedName name="SI" localSheetId="1">#REF!</definedName>
    <definedName name="SI" localSheetId="29">#REF!</definedName>
    <definedName name="SI" localSheetId="3">#REF!</definedName>
    <definedName name="SI" localSheetId="25">#REF!</definedName>
    <definedName name="SI" localSheetId="24">#REF!</definedName>
    <definedName name="SI" localSheetId="26">#REF!</definedName>
    <definedName name="SI" localSheetId="22">#REF!</definedName>
    <definedName name="SI" localSheetId="23">#REF!</definedName>
    <definedName name="SI" localSheetId="15">#REF!</definedName>
    <definedName name="SI" localSheetId="14">#REF!</definedName>
    <definedName name="SI" localSheetId="17">#REF!</definedName>
    <definedName name="SI" localSheetId="19">#REF!</definedName>
    <definedName name="SI" localSheetId="18">#REF!</definedName>
    <definedName name="SI" localSheetId="4">#REF!</definedName>
    <definedName name="SI">#REF!</definedName>
    <definedName name="SINO" localSheetId="13">#REF!</definedName>
    <definedName name="SINO" localSheetId="9">#REF!</definedName>
    <definedName name="SINO" localSheetId="28">#REF!</definedName>
    <definedName name="SINO" localSheetId="10">#REF!</definedName>
    <definedName name="SINO" localSheetId="5">#REF!</definedName>
    <definedName name="SINO" localSheetId="8">#REF!</definedName>
    <definedName name="SINO" localSheetId="7">#REF!</definedName>
    <definedName name="SINO" localSheetId="12">#REF!</definedName>
    <definedName name="SINO" localSheetId="1">#REF!</definedName>
    <definedName name="SINO" localSheetId="29">#REF!</definedName>
    <definedName name="SINO" localSheetId="3">#REF!</definedName>
    <definedName name="SINO" localSheetId="25">#REF!</definedName>
    <definedName name="SINO" localSheetId="24">#REF!</definedName>
    <definedName name="SINO" localSheetId="26">#REF!</definedName>
    <definedName name="SINO" localSheetId="22">#REF!</definedName>
    <definedName name="SINO" localSheetId="23">#REF!</definedName>
    <definedName name="SINO" localSheetId="15">#REF!</definedName>
    <definedName name="SINO" localSheetId="14">#REF!</definedName>
    <definedName name="SINO" localSheetId="17">#REF!</definedName>
    <definedName name="SINO" localSheetId="19">#REF!</definedName>
    <definedName name="SINO" localSheetId="18">#REF!</definedName>
    <definedName name="SINO" localSheetId="4">#REF!</definedName>
    <definedName name="SINO">#REF!</definedName>
    <definedName name="Sum_I">'[3]Base Reporte'!$D$1:$N$98</definedName>
    <definedName name="tiempo">[3]Guía!$L$8:$M$12</definedName>
    <definedName name="_xlnm.Print_Titles" localSheetId="9">CEA!$1:$3</definedName>
    <definedName name="_xlnm.Print_Titles" localSheetId="28">'COMPROMISOS TRANSVERSALES'!$1:$3</definedName>
    <definedName name="_xlnm.Print_Titles" localSheetId="10">OAJ!$1:$3</definedName>
    <definedName name="_xlnm.Print_Titles" localSheetId="8">OCI!$1:$3</definedName>
    <definedName name="_xlnm.Print_Titles" localSheetId="7">'OCI INICIAL'!$1:$3</definedName>
    <definedName name="_xlnm.Print_Titles" localSheetId="12">'OFI. REGISTRO'!$1:$3</definedName>
    <definedName name="_xlnm.Print_Titles" localSheetId="1">'PA 2018 - UAEAC'!$1:$3</definedName>
    <definedName name="_xlnm.Print_Titles" localSheetId="29">'PA 2018 ENV AREAS '!$1:$3</definedName>
    <definedName name="_xlnm.Print_Titles" localSheetId="33">'PNA COL INVERSIONES ANUALIZADAS'!$A:$B,'PNA COL INVERSIONES ANUALIZADAS'!$1:$6</definedName>
    <definedName name="_xlnm.Print_Titles" localSheetId="3">'PRENSA DG'!$1:$3</definedName>
    <definedName name="_xlnm.Print_Titles" localSheetId="25">'SEC GRAL DIR ADM'!$1:$3</definedName>
    <definedName name="_xlnm.Print_Titles" localSheetId="24">'SEC GRAL DIR FRA'!$1:$3</definedName>
    <definedName name="_xlnm.Print_Titles" localSheetId="26">'SEC GRAL DIR TH'!$1:$3</definedName>
    <definedName name="_xlnm.Print_Titles" localSheetId="22">'SEC SEG OPERAC Y AVIAC CIVIL'!$1:$3</definedName>
    <definedName name="_xlnm.Print_Titles" localSheetId="23">'SECRETARIA GENERAL'!$1:$3</definedName>
    <definedName name="_xlnm.Print_Titles" localSheetId="15">'SSO DIA'!$1:$3</definedName>
    <definedName name="_xlnm.Print_Titles" localSheetId="14">'SSO DIR TEL'!$1:$3</definedName>
    <definedName name="_xlnm.Print_Titles" localSheetId="17">'SSO DSA'!$1:$3</definedName>
    <definedName name="_xlnm.Print_Titles" localSheetId="19">'SSO GRUPO PLANIFICACION AEROP'!$1:$3</definedName>
    <definedName name="_xlnm.Print_Titles" localSheetId="18">'SSO GRUPO PROYECTOS'!$1:$3</definedName>
    <definedName name="_xlnm.Print_Titles" localSheetId="4">SUBDIRECCION!$1:$3</definedName>
    <definedName name="valor" localSheetId="14">#REF!</definedName>
    <definedName name="valor">[2]PAA2018!$G$18:$G$80</definedName>
    <definedName name="ValorBarraDesplazamiento">[5]gráfico_cálc!$D$13</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5" i="48" l="1"/>
  <c r="W9" i="37"/>
  <c r="E5" i="48"/>
  <c r="AL16" i="42"/>
  <c r="E27" i="48" s="1"/>
  <c r="AJ13" i="23"/>
  <c r="E4" i="48"/>
  <c r="E34" i="48"/>
  <c r="AH17" i="59"/>
  <c r="AH16" i="59"/>
  <c r="E33" i="48" s="1"/>
  <c r="AL38" i="57"/>
  <c r="AL16" i="41"/>
  <c r="E26" i="48"/>
  <c r="AL38" i="46"/>
  <c r="E24" i="48" s="1"/>
  <c r="AM11" i="50"/>
  <c r="E8" i="48"/>
  <c r="E6" i="48"/>
  <c r="AL25" i="56"/>
  <c r="AK17" i="30"/>
  <c r="E10" i="48"/>
  <c r="AL23" i="29"/>
  <c r="E9" i="48" s="1"/>
  <c r="E22" i="48"/>
  <c r="E17" i="48"/>
  <c r="AJ30" i="54"/>
  <c r="E29" i="48" s="1"/>
  <c r="AI7" i="54"/>
  <c r="AI12" i="54"/>
  <c r="AI4" i="54"/>
  <c r="AL19" i="43"/>
  <c r="E28" i="48"/>
  <c r="AJ11" i="49"/>
  <c r="AK11" i="60"/>
  <c r="E15" i="48" s="1"/>
  <c r="E12" i="48"/>
  <c r="E11" i="48"/>
  <c r="AH12" i="58"/>
  <c r="E14" i="48" s="1"/>
  <c r="AJ21" i="52"/>
  <c r="E21" i="48"/>
  <c r="AI16" i="52"/>
  <c r="AI14" i="52"/>
  <c r="AI10" i="52"/>
  <c r="AI8" i="52"/>
  <c r="AJ11" i="38"/>
  <c r="E20" i="48" s="1"/>
  <c r="AJ9" i="37"/>
  <c r="E19" i="48"/>
  <c r="AN8" i="34"/>
  <c r="E16" i="48" s="1"/>
  <c r="AK13" i="36"/>
  <c r="E18" i="48"/>
  <c r="AK28" i="57"/>
  <c r="AK23" i="57"/>
  <c r="AK21" i="57"/>
  <c r="AK20" i="57"/>
  <c r="AK18" i="57"/>
  <c r="AK14" i="57"/>
  <c r="AK10" i="57"/>
  <c r="AK6" i="57"/>
  <c r="AK4" i="57"/>
  <c r="AJ27" i="46"/>
  <c r="AK9" i="37"/>
  <c r="AK18" i="61"/>
  <c r="E7" i="48"/>
  <c r="U17" i="59"/>
  <c r="B34" i="48" s="1"/>
  <c r="U16" i="59"/>
  <c r="AF12" i="26"/>
  <c r="AC17" i="59"/>
  <c r="Q32" i="48"/>
  <c r="M32" i="48"/>
  <c r="M31" i="48"/>
  <c r="Q31" i="48" s="1"/>
  <c r="D27" i="48"/>
  <c r="D6" i="48"/>
  <c r="AG16" i="41"/>
  <c r="D26" i="48" s="1"/>
  <c r="AF14" i="23"/>
  <c r="D4" i="48"/>
  <c r="AG19" i="43"/>
  <c r="AG38" i="46"/>
  <c r="D24" i="48"/>
  <c r="D25" i="48"/>
  <c r="AF18" i="61"/>
  <c r="D7" i="48" s="1"/>
  <c r="AG38" i="57"/>
  <c r="AE30" i="54"/>
  <c r="AE11" i="49"/>
  <c r="AG25" i="56"/>
  <c r="D11" i="48" s="1"/>
  <c r="AF17" i="30"/>
  <c r="D10" i="48"/>
  <c r="AG23" i="29"/>
  <c r="D9" i="48"/>
  <c r="AE11" i="38"/>
  <c r="D20" i="48"/>
  <c r="AG11" i="37"/>
  <c r="AF11" i="37"/>
  <c r="AF9" i="37"/>
  <c r="AE9" i="37"/>
  <c r="AH4" i="34"/>
  <c r="AI8" i="34"/>
  <c r="D16" i="48" s="1"/>
  <c r="AF11" i="60"/>
  <c r="AF13" i="36"/>
  <c r="AC12" i="58"/>
  <c r="AB38" i="57"/>
  <c r="C17" i="48" s="1"/>
  <c r="AH11" i="50"/>
  <c r="D8" i="48"/>
  <c r="D29" i="48"/>
  <c r="D28" i="48"/>
  <c r="D22" i="48"/>
  <c r="D21" i="48"/>
  <c r="D19" i="48"/>
  <c r="D18" i="48"/>
  <c r="D17" i="48"/>
  <c r="D15" i="48"/>
  <c r="D14" i="48"/>
  <c r="D12" i="48"/>
  <c r="D5" i="48"/>
  <c r="D34" i="48"/>
  <c r="AC16" i="59"/>
  <c r="D33" i="48"/>
  <c r="AE27" i="46"/>
  <c r="AC9" i="34"/>
  <c r="AD8" i="34"/>
  <c r="Z9" i="37"/>
  <c r="Z11" i="49"/>
  <c r="C12" i="48" s="1"/>
  <c r="AA21" i="52"/>
  <c r="AB11" i="60"/>
  <c r="AB19" i="43"/>
  <c r="X17" i="59"/>
  <c r="C34" i="48" s="1"/>
  <c r="X16" i="59"/>
  <c r="C33" i="48"/>
  <c r="Z10" i="53"/>
  <c r="U14" i="59"/>
  <c r="W22" i="52"/>
  <c r="C28" i="48"/>
  <c r="C22" i="48"/>
  <c r="C21" i="48"/>
  <c r="C20" i="48"/>
  <c r="Z11" i="59"/>
  <c r="AB17" i="44"/>
  <c r="C25" i="48" s="1"/>
  <c r="AB38" i="46"/>
  <c r="C24" i="48"/>
  <c r="C19" i="48"/>
  <c r="C15" i="48"/>
  <c r="AA13" i="36"/>
  <c r="C18" i="48"/>
  <c r="Z8" i="34"/>
  <c r="C16" i="48"/>
  <c r="X11" i="60"/>
  <c r="B15" i="48" s="1"/>
  <c r="AC11" i="50"/>
  <c r="C8" i="48" s="1"/>
  <c r="AB16" i="42"/>
  <c r="W13" i="42"/>
  <c r="B27" i="48" s="1"/>
  <c r="C27" i="48"/>
  <c r="Y12" i="58"/>
  <c r="C14" i="48"/>
  <c r="AA14" i="23"/>
  <c r="C4" i="48" s="1"/>
  <c r="AA24" i="62"/>
  <c r="C6" i="48"/>
  <c r="AA18" i="61"/>
  <c r="C7" i="48" s="1"/>
  <c r="Y11" i="50"/>
  <c r="B8" i="48" s="1"/>
  <c r="AA17" i="30"/>
  <c r="C10" i="48"/>
  <c r="AB23" i="29"/>
  <c r="C9" i="48" s="1"/>
  <c r="C5" i="48"/>
  <c r="V12" i="26"/>
  <c r="B5" i="48" s="1"/>
  <c r="V15" i="30"/>
  <c r="AB16" i="41"/>
  <c r="C26" i="48"/>
  <c r="V13" i="41"/>
  <c r="B26" i="48" s="1"/>
  <c r="AA30" i="54"/>
  <c r="C29" i="48"/>
  <c r="V31" i="54"/>
  <c r="Y9" i="34"/>
  <c r="AB25" i="56"/>
  <c r="C11" i="48"/>
  <c r="Z27" i="46"/>
  <c r="X14" i="44"/>
  <c r="B25" i="48" s="1"/>
  <c r="B10" i="48"/>
  <c r="F13" i="48"/>
  <c r="F23" i="48"/>
  <c r="F30" i="48"/>
  <c r="B12" i="48"/>
  <c r="B4" i="48"/>
  <c r="Y16" i="43"/>
  <c r="B28" i="48"/>
  <c r="Y4" i="43"/>
  <c r="X12" i="62"/>
  <c r="X4" i="62"/>
  <c r="V4" i="60"/>
  <c r="W36" i="46"/>
  <c r="B24" i="48" s="1"/>
  <c r="U27" i="46"/>
  <c r="U11" i="46"/>
  <c r="B6" i="48"/>
  <c r="B7" i="48"/>
  <c r="B20" i="48"/>
  <c r="V4" i="38"/>
  <c r="U24" i="29"/>
  <c r="B9" i="48"/>
  <c r="B33" i="48"/>
  <c r="V6" i="59"/>
  <c r="U6" i="59"/>
  <c r="V5" i="59"/>
  <c r="U5" i="59"/>
  <c r="B14" i="48"/>
  <c r="B18" i="48"/>
  <c r="B16" i="48"/>
  <c r="B17" i="48"/>
  <c r="B11" i="48"/>
  <c r="B21" i="48"/>
  <c r="B29" i="48"/>
  <c r="V7" i="53"/>
  <c r="B22" i="48" s="1"/>
  <c r="U4" i="53"/>
  <c r="G30" i="48"/>
  <c r="H30" i="48"/>
  <c r="G25" i="48"/>
  <c r="H25" i="48"/>
  <c r="F25" i="48"/>
  <c r="H23" i="48"/>
  <c r="H13" i="48"/>
  <c r="G3" i="48"/>
  <c r="H3" i="48"/>
  <c r="F3" i="48"/>
  <c r="G13" i="48"/>
  <c r="G23" i="48"/>
  <c r="G35" i="48"/>
  <c r="F35" i="48"/>
  <c r="E16" i="14"/>
  <c r="E13" i="14"/>
  <c r="E4" i="14"/>
  <c r="E3" i="14"/>
  <c r="G968" i="10"/>
  <c r="G967" i="10"/>
  <c r="H967" i="10"/>
  <c r="G966" i="10"/>
  <c r="I966" i="10" s="1"/>
  <c r="J966" i="10" s="1"/>
  <c r="K966" i="10" s="1"/>
  <c r="L966" i="10" s="1"/>
  <c r="N966" i="10" s="1"/>
  <c r="O966" i="10" s="1"/>
  <c r="P966" i="10"/>
  <c r="Q966" i="10" s="1"/>
  <c r="S966" i="10" s="1"/>
  <c r="G965" i="10"/>
  <c r="G964" i="10"/>
  <c r="G963" i="10"/>
  <c r="H963" i="10"/>
  <c r="G962" i="10"/>
  <c r="G961" i="10"/>
  <c r="G960" i="10"/>
  <c r="G959" i="10"/>
  <c r="I959" i="10"/>
  <c r="J959" i="10"/>
  <c r="K959" i="10" s="1"/>
  <c r="L959" i="10" s="1"/>
  <c r="N959" i="10" s="1"/>
  <c r="O959" i="10" s="1"/>
  <c r="P959" i="10" s="1"/>
  <c r="Q959" i="10" s="1"/>
  <c r="S959" i="10" s="1"/>
  <c r="T959" i="10" s="1"/>
  <c r="U959" i="10" s="1"/>
  <c r="V959" i="10" s="1"/>
  <c r="G958" i="10"/>
  <c r="G957" i="10"/>
  <c r="I957" i="10"/>
  <c r="J957" i="10"/>
  <c r="K957" i="10"/>
  <c r="L957" i="10" s="1"/>
  <c r="N957" i="10" s="1"/>
  <c r="O957" i="10" s="1"/>
  <c r="P957" i="10" s="1"/>
  <c r="Q957" i="10" s="1"/>
  <c r="S957" i="10" s="1"/>
  <c r="G956" i="10"/>
  <c r="G955" i="10"/>
  <c r="H955" i="10" s="1"/>
  <c r="G954" i="10"/>
  <c r="I954" i="10"/>
  <c r="J954" i="10"/>
  <c r="K954" i="10" s="1"/>
  <c r="L954" i="10" s="1"/>
  <c r="N954" i="10" s="1"/>
  <c r="O954" i="10" s="1"/>
  <c r="P954" i="10" s="1"/>
  <c r="Q954" i="10" s="1"/>
  <c r="S954" i="10" s="1"/>
  <c r="T954" i="10" s="1"/>
  <c r="G953" i="10"/>
  <c r="I953" i="10" s="1"/>
  <c r="J953" i="10" s="1"/>
  <c r="K953" i="10" s="1"/>
  <c r="L953" i="10" s="1"/>
  <c r="N953" i="10" s="1"/>
  <c r="O953" i="10" s="1"/>
  <c r="P953" i="10" s="1"/>
  <c r="Q953" i="10" s="1"/>
  <c r="S953" i="10" s="1"/>
  <c r="G952" i="10"/>
  <c r="G951" i="10"/>
  <c r="H951" i="10"/>
  <c r="G950" i="10"/>
  <c r="I950" i="10"/>
  <c r="J950" i="10"/>
  <c r="K950" i="10"/>
  <c r="L950" i="10" s="1"/>
  <c r="N950" i="10" s="1"/>
  <c r="O950" i="10" s="1"/>
  <c r="P950" i="10"/>
  <c r="Q950" i="10" s="1"/>
  <c r="S950" i="10" s="1"/>
  <c r="G949" i="10"/>
  <c r="I949" i="10"/>
  <c r="J949" i="10" s="1"/>
  <c r="K949" i="10" s="1"/>
  <c r="L949" i="10" s="1"/>
  <c r="N949" i="10" s="1"/>
  <c r="O949" i="10" s="1"/>
  <c r="P949" i="10" s="1"/>
  <c r="Q949" i="10" s="1"/>
  <c r="S949" i="10" s="1"/>
  <c r="G948" i="10"/>
  <c r="G947" i="10"/>
  <c r="G946" i="10"/>
  <c r="G945" i="10"/>
  <c r="G944" i="10"/>
  <c r="H944" i="10" s="1"/>
  <c r="G943" i="10"/>
  <c r="I943" i="10"/>
  <c r="J943" i="10" s="1"/>
  <c r="K943" i="10" s="1"/>
  <c r="L943" i="10" s="1"/>
  <c r="N943" i="10"/>
  <c r="O943" i="10" s="1"/>
  <c r="P943" i="10" s="1"/>
  <c r="Q943" i="10" s="1"/>
  <c r="S943" i="10" s="1"/>
  <c r="G942" i="10"/>
  <c r="G941" i="10"/>
  <c r="G940" i="10"/>
  <c r="G939" i="10"/>
  <c r="I939" i="10" s="1"/>
  <c r="J939" i="10" s="1"/>
  <c r="K939" i="10" s="1"/>
  <c r="L939" i="10"/>
  <c r="N939" i="10" s="1"/>
  <c r="O939" i="10" s="1"/>
  <c r="P939" i="10" s="1"/>
  <c r="Q939" i="10" s="1"/>
  <c r="S939" i="10" s="1"/>
  <c r="G938" i="10"/>
  <c r="G937" i="10"/>
  <c r="H937" i="10"/>
  <c r="G936" i="10"/>
  <c r="G935" i="10"/>
  <c r="I935" i="10" s="1"/>
  <c r="J935" i="10" s="1"/>
  <c r="K935" i="10" s="1"/>
  <c r="L935" i="10" s="1"/>
  <c r="N935" i="10" s="1"/>
  <c r="O935" i="10"/>
  <c r="P935" i="10" s="1"/>
  <c r="Q935" i="10" s="1"/>
  <c r="S935" i="10" s="1"/>
  <c r="G934" i="10"/>
  <c r="G933" i="10"/>
  <c r="H933" i="10"/>
  <c r="G932" i="10"/>
  <c r="I932" i="10"/>
  <c r="J932" i="10" s="1"/>
  <c r="K932" i="10" s="1"/>
  <c r="L932" i="10" s="1"/>
  <c r="N932" i="10"/>
  <c r="O932" i="10" s="1"/>
  <c r="P932" i="10" s="1"/>
  <c r="Q932" i="10" s="1"/>
  <c r="S932" i="10" s="1"/>
  <c r="G931" i="10"/>
  <c r="F930" i="10"/>
  <c r="E930" i="10"/>
  <c r="D930" i="10"/>
  <c r="H929" i="10"/>
  <c r="V893" i="10"/>
  <c r="U893" i="10"/>
  <c r="T893" i="10"/>
  <c r="S893" i="10"/>
  <c r="Q893" i="10"/>
  <c r="P893" i="10"/>
  <c r="O893" i="10"/>
  <c r="N893" i="10"/>
  <c r="L893" i="10"/>
  <c r="K893" i="10"/>
  <c r="J893" i="10"/>
  <c r="I893" i="10"/>
  <c r="G893" i="10"/>
  <c r="F893" i="10"/>
  <c r="E893" i="10"/>
  <c r="D893" i="10"/>
  <c r="C893" i="10"/>
  <c r="I892" i="10"/>
  <c r="J892" i="10"/>
  <c r="K892" i="10" s="1"/>
  <c r="L892" i="10" s="1"/>
  <c r="N892" i="10" s="1"/>
  <c r="H892" i="10"/>
  <c r="I891" i="10"/>
  <c r="J891" i="10" s="1"/>
  <c r="K891" i="10" s="1"/>
  <c r="L891" i="10"/>
  <c r="N891" i="10" s="1"/>
  <c r="O891" i="10" s="1"/>
  <c r="P891" i="10" s="1"/>
  <c r="Q891" i="10"/>
  <c r="F891" i="10"/>
  <c r="H891" i="10" s="1"/>
  <c r="I890" i="10"/>
  <c r="J890" i="10"/>
  <c r="K890" i="10" s="1"/>
  <c r="L890" i="10" s="1"/>
  <c r="N890" i="10" s="1"/>
  <c r="E890" i="10"/>
  <c r="I889" i="10"/>
  <c r="J889" i="10"/>
  <c r="K889" i="10" s="1"/>
  <c r="L889" i="10"/>
  <c r="N889" i="10" s="1"/>
  <c r="E889" i="10"/>
  <c r="F889" i="10" s="1"/>
  <c r="H889" i="10"/>
  <c r="I888" i="10"/>
  <c r="J888" i="10"/>
  <c r="K888" i="10" s="1"/>
  <c r="L888" i="10"/>
  <c r="N888" i="10" s="1"/>
  <c r="E888" i="10"/>
  <c r="F888" i="10" s="1"/>
  <c r="I887" i="10"/>
  <c r="J887" i="10" s="1"/>
  <c r="K887" i="10" s="1"/>
  <c r="L887" i="10" s="1"/>
  <c r="N887" i="10"/>
  <c r="E887" i="10"/>
  <c r="F887" i="10"/>
  <c r="H887" i="10" s="1"/>
  <c r="I886" i="10"/>
  <c r="J886" i="10" s="1"/>
  <c r="K886" i="10" s="1"/>
  <c r="L886" i="10" s="1"/>
  <c r="N886" i="10"/>
  <c r="O886" i="10" s="1"/>
  <c r="P886" i="10" s="1"/>
  <c r="Q886" i="10" s="1"/>
  <c r="E886" i="10"/>
  <c r="F886" i="10" s="1"/>
  <c r="I885" i="10"/>
  <c r="J885" i="10" s="1"/>
  <c r="E885" i="10"/>
  <c r="I884" i="10"/>
  <c r="F884" i="10"/>
  <c r="H884" i="10"/>
  <c r="E883" i="10"/>
  <c r="F883" i="10"/>
  <c r="G883" i="10" s="1"/>
  <c r="I883" i="10" s="1"/>
  <c r="G882" i="10"/>
  <c r="G881" i="10"/>
  <c r="I881" i="10" s="1"/>
  <c r="E881" i="10"/>
  <c r="E880" i="10"/>
  <c r="F880" i="10"/>
  <c r="G880" i="10" s="1"/>
  <c r="I880" i="10" s="1"/>
  <c r="I879" i="10"/>
  <c r="J879" i="10"/>
  <c r="K879" i="10" s="1"/>
  <c r="L879" i="10" s="1"/>
  <c r="N879" i="10" s="1"/>
  <c r="F879" i="10"/>
  <c r="H879" i="10" s="1"/>
  <c r="I878" i="10"/>
  <c r="J878" i="10" s="1"/>
  <c r="H878" i="10"/>
  <c r="I877" i="10"/>
  <c r="J877" i="10" s="1"/>
  <c r="K877" i="10" s="1"/>
  <c r="L877" i="10" s="1"/>
  <c r="N877" i="10"/>
  <c r="O877" i="10" s="1"/>
  <c r="E877" i="10"/>
  <c r="H877" i="10" s="1"/>
  <c r="I876" i="10"/>
  <c r="J876" i="10"/>
  <c r="K876" i="10" s="1"/>
  <c r="L876" i="10" s="1"/>
  <c r="N876" i="10" s="1"/>
  <c r="F876" i="10"/>
  <c r="H876" i="10" s="1"/>
  <c r="I875" i="10"/>
  <c r="J875" i="10" s="1"/>
  <c r="K875" i="10"/>
  <c r="L875" i="10" s="1"/>
  <c r="N875" i="10" s="1"/>
  <c r="F875" i="10"/>
  <c r="H875" i="10"/>
  <c r="I874" i="10"/>
  <c r="J874" i="10" s="1"/>
  <c r="K874" i="10" s="1"/>
  <c r="L874" i="10"/>
  <c r="N874" i="10" s="1"/>
  <c r="O874" i="10" s="1"/>
  <c r="P874" i="10" s="1"/>
  <c r="Q874" i="10"/>
  <c r="H874" i="10"/>
  <c r="I873" i="10"/>
  <c r="H873" i="10"/>
  <c r="F872" i="10"/>
  <c r="I871" i="10"/>
  <c r="J871" i="10" s="1"/>
  <c r="K871" i="10" s="1"/>
  <c r="L871" i="10" s="1"/>
  <c r="N871" i="10" s="1"/>
  <c r="O871" i="10" s="1"/>
  <c r="H871" i="10"/>
  <c r="I870" i="10"/>
  <c r="J870" i="10"/>
  <c r="F870" i="10"/>
  <c r="H870" i="10" s="1"/>
  <c r="I869" i="10"/>
  <c r="J869" i="10" s="1"/>
  <c r="K869" i="10"/>
  <c r="L869" i="10" s="1"/>
  <c r="N869" i="10" s="1"/>
  <c r="E869" i="10"/>
  <c r="H869" i="10"/>
  <c r="I868" i="10"/>
  <c r="H868" i="10"/>
  <c r="I867" i="10"/>
  <c r="J867" i="10"/>
  <c r="K867" i="10" s="1"/>
  <c r="L867" i="10" s="1"/>
  <c r="N867" i="10" s="1"/>
  <c r="O867" i="10"/>
  <c r="P867" i="10" s="1"/>
  <c r="Q867" i="10" s="1"/>
  <c r="H867" i="10"/>
  <c r="I866" i="10"/>
  <c r="H866" i="10"/>
  <c r="I865" i="10"/>
  <c r="J865" i="10" s="1"/>
  <c r="K865" i="10"/>
  <c r="L865" i="10" s="1"/>
  <c r="N865" i="10" s="1"/>
  <c r="E865" i="10"/>
  <c r="I864" i="10"/>
  <c r="J864" i="10"/>
  <c r="K864" i="10" s="1"/>
  <c r="L864" i="10" s="1"/>
  <c r="N864" i="10" s="1"/>
  <c r="O864" i="10" s="1"/>
  <c r="P864" i="10" s="1"/>
  <c r="Q864" i="10" s="1"/>
  <c r="F864" i="10"/>
  <c r="H864" i="10" s="1"/>
  <c r="I863" i="10"/>
  <c r="F863" i="10"/>
  <c r="H863" i="10"/>
  <c r="I862" i="10"/>
  <c r="E862" i="10"/>
  <c r="E861" i="10"/>
  <c r="F861" i="10"/>
  <c r="G861" i="10" s="1"/>
  <c r="I861" i="10" s="1"/>
  <c r="E860" i="10"/>
  <c r="F860" i="10"/>
  <c r="G860" i="10" s="1"/>
  <c r="I859" i="10"/>
  <c r="J859" i="10"/>
  <c r="K859" i="10"/>
  <c r="L859" i="10" s="1"/>
  <c r="N859" i="10" s="1"/>
  <c r="O859" i="10" s="1"/>
  <c r="P859" i="10"/>
  <c r="Q859" i="10" s="1"/>
  <c r="E859" i="10"/>
  <c r="I858" i="10"/>
  <c r="J858" i="10"/>
  <c r="H858" i="10"/>
  <c r="D857" i="10"/>
  <c r="C857" i="10"/>
  <c r="V821" i="10"/>
  <c r="U821" i="10"/>
  <c r="T821" i="10"/>
  <c r="S821" i="10"/>
  <c r="Q821" i="10"/>
  <c r="P821" i="10"/>
  <c r="O821" i="10"/>
  <c r="N821" i="10"/>
  <c r="L821" i="10"/>
  <c r="K821" i="10"/>
  <c r="J821" i="10"/>
  <c r="I821" i="10"/>
  <c r="G821" i="10"/>
  <c r="F821" i="10"/>
  <c r="E821" i="10"/>
  <c r="D821" i="10"/>
  <c r="C821" i="10"/>
  <c r="V814" i="10"/>
  <c r="U814" i="10"/>
  <c r="T814" i="10"/>
  <c r="S814" i="10"/>
  <c r="Q814" i="10"/>
  <c r="P814" i="10"/>
  <c r="O814" i="10"/>
  <c r="N814" i="10"/>
  <c r="L814" i="10"/>
  <c r="K814" i="10"/>
  <c r="J814" i="10"/>
  <c r="I814" i="10"/>
  <c r="G814" i="10"/>
  <c r="F814" i="10"/>
  <c r="E814" i="10"/>
  <c r="D814" i="10"/>
  <c r="C814" i="10"/>
  <c r="V764" i="10"/>
  <c r="U764" i="10"/>
  <c r="T764" i="10"/>
  <c r="S764" i="10"/>
  <c r="Q764" i="10"/>
  <c r="P764" i="10"/>
  <c r="O764" i="10"/>
  <c r="N764" i="10"/>
  <c r="L764" i="10"/>
  <c r="K764" i="10"/>
  <c r="J764" i="10"/>
  <c r="I764" i="10"/>
  <c r="G764" i="10"/>
  <c r="F764" i="10"/>
  <c r="E764" i="10"/>
  <c r="D764" i="10"/>
  <c r="C764" i="10"/>
  <c r="V758" i="10"/>
  <c r="U758" i="10"/>
  <c r="W758" i="10" s="1"/>
  <c r="T758" i="10"/>
  <c r="S758" i="10"/>
  <c r="Q758" i="10"/>
  <c r="P758" i="10"/>
  <c r="O758" i="10"/>
  <c r="N758" i="10"/>
  <c r="L758" i="10"/>
  <c r="K758" i="10"/>
  <c r="M758" i="10" s="1"/>
  <c r="J758" i="10"/>
  <c r="I758" i="10"/>
  <c r="G758" i="10"/>
  <c r="F758" i="10"/>
  <c r="E758" i="10"/>
  <c r="D758" i="10"/>
  <c r="C758" i="10"/>
  <c r="V740" i="10"/>
  <c r="U740" i="10"/>
  <c r="T740" i="10"/>
  <c r="S740" i="10"/>
  <c r="Q740" i="10"/>
  <c r="P740" i="10"/>
  <c r="O740" i="10"/>
  <c r="N740" i="10"/>
  <c r="L740" i="10"/>
  <c r="K740" i="10"/>
  <c r="J740" i="10"/>
  <c r="I740" i="10"/>
  <c r="G740" i="10"/>
  <c r="F740" i="10"/>
  <c r="E740" i="10"/>
  <c r="D740" i="10"/>
  <c r="C740" i="10"/>
  <c r="V693" i="10"/>
  <c r="U693" i="10"/>
  <c r="T693" i="10"/>
  <c r="S693" i="10"/>
  <c r="Q693" i="10"/>
  <c r="P693" i="10"/>
  <c r="O693" i="10"/>
  <c r="N693" i="10"/>
  <c r="L693" i="10"/>
  <c r="K693" i="10"/>
  <c r="J693" i="10"/>
  <c r="I693" i="10"/>
  <c r="G693" i="10"/>
  <c r="F693" i="10"/>
  <c r="E693" i="10"/>
  <c r="D693" i="10"/>
  <c r="D435" i="10" s="1"/>
  <c r="C693" i="10"/>
  <c r="V686" i="10"/>
  <c r="U686" i="10"/>
  <c r="T686" i="10"/>
  <c r="S686" i="10"/>
  <c r="Q686" i="10"/>
  <c r="P686" i="10"/>
  <c r="O686" i="10"/>
  <c r="N686" i="10"/>
  <c r="L686" i="10"/>
  <c r="K686" i="10"/>
  <c r="J686" i="10"/>
  <c r="I686" i="10"/>
  <c r="G686" i="10"/>
  <c r="F686" i="10"/>
  <c r="E686" i="10"/>
  <c r="D686" i="10"/>
  <c r="V582" i="10"/>
  <c r="U582" i="10"/>
  <c r="T582" i="10"/>
  <c r="S582" i="10"/>
  <c r="Q582" i="10"/>
  <c r="P582" i="10"/>
  <c r="O582" i="10"/>
  <c r="N582" i="10"/>
  <c r="L582" i="10"/>
  <c r="K582" i="10"/>
  <c r="J582" i="10"/>
  <c r="I582" i="10"/>
  <c r="G582" i="10"/>
  <c r="F582" i="10"/>
  <c r="E582" i="10"/>
  <c r="D582" i="10"/>
  <c r="V509" i="10"/>
  <c r="U509" i="10"/>
  <c r="T509" i="10"/>
  <c r="S509" i="10"/>
  <c r="Q509" i="10"/>
  <c r="P509" i="10"/>
  <c r="O509" i="10"/>
  <c r="N509" i="10"/>
  <c r="L509" i="10"/>
  <c r="K509" i="10"/>
  <c r="J509" i="10"/>
  <c r="I509" i="10"/>
  <c r="G509" i="10"/>
  <c r="F509" i="10"/>
  <c r="E509" i="10"/>
  <c r="D509" i="10"/>
  <c r="V436" i="10"/>
  <c r="U436" i="10"/>
  <c r="T436" i="10"/>
  <c r="S436" i="10"/>
  <c r="Q436" i="10"/>
  <c r="P436" i="10"/>
  <c r="O436" i="10"/>
  <c r="N436" i="10"/>
  <c r="L436" i="10"/>
  <c r="K436" i="10"/>
  <c r="J436" i="10"/>
  <c r="I436" i="10"/>
  <c r="G436" i="10"/>
  <c r="F436" i="10"/>
  <c r="E436" i="10"/>
  <c r="D436" i="10"/>
  <c r="C436" i="10"/>
  <c r="W432" i="10"/>
  <c r="R432" i="10"/>
  <c r="M432" i="10"/>
  <c r="H432" i="10"/>
  <c r="H431" i="10"/>
  <c r="W430" i="10"/>
  <c r="R430" i="10"/>
  <c r="M430" i="10"/>
  <c r="H430" i="10"/>
  <c r="W429" i="10"/>
  <c r="R429" i="10"/>
  <c r="M429" i="10"/>
  <c r="H429" i="10"/>
  <c r="W428" i="10"/>
  <c r="R428" i="10"/>
  <c r="M428" i="10"/>
  <c r="H428" i="10"/>
  <c r="W427" i="10"/>
  <c r="R427" i="10"/>
  <c r="M427" i="10"/>
  <c r="H427" i="10"/>
  <c r="W426" i="10"/>
  <c r="R426" i="10"/>
  <c r="M426" i="10"/>
  <c r="H426" i="10"/>
  <c r="W425" i="10"/>
  <c r="R425" i="10"/>
  <c r="M425" i="10"/>
  <c r="H425" i="10"/>
  <c r="W424" i="10"/>
  <c r="R424" i="10"/>
  <c r="M424" i="10"/>
  <c r="H424" i="10"/>
  <c r="W423" i="10"/>
  <c r="R423" i="10"/>
  <c r="M423" i="10"/>
  <c r="H423" i="10"/>
  <c r="W422" i="10"/>
  <c r="R422" i="10"/>
  <c r="M422" i="10"/>
  <c r="H422" i="10"/>
  <c r="W421" i="10"/>
  <c r="R421" i="10"/>
  <c r="M421" i="10"/>
  <c r="H421" i="10"/>
  <c r="W420" i="10"/>
  <c r="R420" i="10"/>
  <c r="M420" i="10"/>
  <c r="H420" i="10"/>
  <c r="W419" i="10"/>
  <c r="R419" i="10"/>
  <c r="M419" i="10"/>
  <c r="H419" i="10"/>
  <c r="W418" i="10"/>
  <c r="R418" i="10"/>
  <c r="M418" i="10"/>
  <c r="H418" i="10"/>
  <c r="W417" i="10"/>
  <c r="R417" i="10"/>
  <c r="M417" i="10"/>
  <c r="H417" i="10"/>
  <c r="W416" i="10"/>
  <c r="R416" i="10"/>
  <c r="M416" i="10"/>
  <c r="H416" i="10"/>
  <c r="W415" i="10"/>
  <c r="R415" i="10"/>
  <c r="M415" i="10"/>
  <c r="H415" i="10"/>
  <c r="W414" i="10"/>
  <c r="R414" i="10"/>
  <c r="M414" i="10"/>
  <c r="H414" i="10"/>
  <c r="W413" i="10"/>
  <c r="R413" i="10"/>
  <c r="M413" i="10"/>
  <c r="H413" i="10"/>
  <c r="W412" i="10"/>
  <c r="R412" i="10"/>
  <c r="M412" i="10"/>
  <c r="H412" i="10"/>
  <c r="W411" i="10"/>
  <c r="R411" i="10"/>
  <c r="M411" i="10"/>
  <c r="H411" i="10"/>
  <c r="W410" i="10"/>
  <c r="R410" i="10"/>
  <c r="M410" i="10"/>
  <c r="H410" i="10"/>
  <c r="W409" i="10"/>
  <c r="R409" i="10"/>
  <c r="M409" i="10"/>
  <c r="H409" i="10"/>
  <c r="W408" i="10"/>
  <c r="R408" i="10"/>
  <c r="M408" i="10"/>
  <c r="H408" i="10"/>
  <c r="W407" i="10"/>
  <c r="R407" i="10"/>
  <c r="M407" i="10"/>
  <c r="H407" i="10"/>
  <c r="W406" i="10"/>
  <c r="R406" i="10"/>
  <c r="M406" i="10"/>
  <c r="H406" i="10"/>
  <c r="W405" i="10"/>
  <c r="R405" i="10"/>
  <c r="M405" i="10"/>
  <c r="H405" i="10"/>
  <c r="W404" i="10"/>
  <c r="R404" i="10"/>
  <c r="M404" i="10"/>
  <c r="H398" i="10"/>
  <c r="W391" i="10"/>
  <c r="R391" i="10"/>
  <c r="M391" i="10"/>
  <c r="H391" i="10"/>
  <c r="W390" i="10"/>
  <c r="R390" i="10"/>
  <c r="M390" i="10"/>
  <c r="H390" i="10"/>
  <c r="W389" i="10"/>
  <c r="R389" i="10"/>
  <c r="M389" i="10"/>
  <c r="H389" i="10"/>
  <c r="W388" i="10"/>
  <c r="R388" i="10"/>
  <c r="M388" i="10"/>
  <c r="H388" i="10"/>
  <c r="W387" i="10"/>
  <c r="R387" i="10"/>
  <c r="M387" i="10"/>
  <c r="H387" i="10"/>
  <c r="W386" i="10"/>
  <c r="R386" i="10"/>
  <c r="M386" i="10"/>
  <c r="H386" i="10"/>
  <c r="W385" i="10"/>
  <c r="R385" i="10"/>
  <c r="M385" i="10"/>
  <c r="H385" i="10"/>
  <c r="W384" i="10"/>
  <c r="R384" i="10"/>
  <c r="M384" i="10"/>
  <c r="H384" i="10"/>
  <c r="W383" i="10"/>
  <c r="R383" i="10"/>
  <c r="M383" i="10"/>
  <c r="H383" i="10"/>
  <c r="W382" i="10"/>
  <c r="R382" i="10"/>
  <c r="M382" i="10"/>
  <c r="H382" i="10"/>
  <c r="V381" i="10"/>
  <c r="U381" i="10"/>
  <c r="T381" i="10"/>
  <c r="S381" i="10"/>
  <c r="Q381" i="10"/>
  <c r="P381" i="10"/>
  <c r="O381" i="10"/>
  <c r="N381" i="10"/>
  <c r="L381" i="10"/>
  <c r="K381" i="10"/>
  <c r="J381" i="10"/>
  <c r="I381" i="10"/>
  <c r="G381" i="10"/>
  <c r="F381" i="10"/>
  <c r="E381" i="10"/>
  <c r="D381" i="10"/>
  <c r="C381" i="10"/>
  <c r="W380" i="10"/>
  <c r="R380" i="10"/>
  <c r="M380" i="10"/>
  <c r="H380" i="10"/>
  <c r="W379" i="10"/>
  <c r="R379" i="10"/>
  <c r="M379" i="10"/>
  <c r="H379" i="10"/>
  <c r="W378" i="10"/>
  <c r="R378" i="10"/>
  <c r="M378" i="10"/>
  <c r="H378" i="10"/>
  <c r="W377" i="10"/>
  <c r="R377" i="10"/>
  <c r="M377" i="10"/>
  <c r="H377" i="10"/>
  <c r="W376" i="10"/>
  <c r="R376" i="10"/>
  <c r="M376" i="10"/>
  <c r="H376" i="10"/>
  <c r="W375" i="10"/>
  <c r="R375" i="10"/>
  <c r="M375" i="10"/>
  <c r="H375" i="10"/>
  <c r="W374" i="10"/>
  <c r="R374" i="10"/>
  <c r="M374" i="10"/>
  <c r="H374" i="10"/>
  <c r="W373" i="10"/>
  <c r="R373" i="10"/>
  <c r="M373" i="10"/>
  <c r="H373" i="10"/>
  <c r="W372" i="10"/>
  <c r="R372" i="10"/>
  <c r="M372" i="10"/>
  <c r="H372" i="10"/>
  <c r="W371" i="10"/>
  <c r="R371" i="10"/>
  <c r="M371" i="10"/>
  <c r="H371" i="10"/>
  <c r="W370" i="10"/>
  <c r="R370" i="10"/>
  <c r="M370" i="10"/>
  <c r="H370" i="10"/>
  <c r="W369" i="10"/>
  <c r="R369" i="10"/>
  <c r="M369" i="10"/>
  <c r="H369" i="10"/>
  <c r="W368" i="10"/>
  <c r="R368" i="10"/>
  <c r="M368" i="10"/>
  <c r="H368" i="10"/>
  <c r="W367" i="10"/>
  <c r="R367" i="10"/>
  <c r="M367" i="10"/>
  <c r="H367" i="10"/>
  <c r="W366" i="10"/>
  <c r="R366" i="10"/>
  <c r="M366" i="10"/>
  <c r="H366" i="10"/>
  <c r="W365" i="10"/>
  <c r="R365" i="10"/>
  <c r="M365" i="10"/>
  <c r="H365" i="10"/>
  <c r="W364" i="10"/>
  <c r="R364" i="10"/>
  <c r="M364" i="10"/>
  <c r="H364" i="10"/>
  <c r="W363" i="10"/>
  <c r="R363" i="10"/>
  <c r="M363" i="10"/>
  <c r="H363" i="10"/>
  <c r="W362" i="10"/>
  <c r="R362" i="10"/>
  <c r="M362" i="10"/>
  <c r="H362" i="10"/>
  <c r="W361" i="10"/>
  <c r="R361" i="10"/>
  <c r="M361" i="10"/>
  <c r="F361" i="10"/>
  <c r="H361" i="10" s="1"/>
  <c r="W360" i="10"/>
  <c r="R360" i="10"/>
  <c r="M360" i="10"/>
  <c r="H360" i="10"/>
  <c r="W359" i="10"/>
  <c r="R359" i="10"/>
  <c r="M359" i="10"/>
  <c r="H359" i="10"/>
  <c r="V358" i="10"/>
  <c r="U358" i="10"/>
  <c r="T358" i="10"/>
  <c r="S358" i="10"/>
  <c r="S357" i="10" s="1"/>
  <c r="Q358" i="10"/>
  <c r="P358" i="10"/>
  <c r="O358" i="10"/>
  <c r="N358" i="10"/>
  <c r="L358" i="10"/>
  <c r="K358" i="10"/>
  <c r="J358" i="10"/>
  <c r="I358" i="10"/>
  <c r="I357" i="10" s="1"/>
  <c r="G358" i="10"/>
  <c r="E358" i="10"/>
  <c r="E357" i="10" s="1"/>
  <c r="D358" i="10"/>
  <c r="D357" i="10" s="1"/>
  <c r="C358" i="10"/>
  <c r="C357" i="10" s="1"/>
  <c r="W355" i="10"/>
  <c r="R355" i="10"/>
  <c r="M355" i="10"/>
  <c r="H355" i="10"/>
  <c r="V354" i="10"/>
  <c r="U354" i="10"/>
  <c r="T354" i="10"/>
  <c r="S354" i="10"/>
  <c r="Q354" i="10"/>
  <c r="P354" i="10"/>
  <c r="O354" i="10"/>
  <c r="N354" i="10"/>
  <c r="L354" i="10"/>
  <c r="K354" i="10"/>
  <c r="J354" i="10"/>
  <c r="I354" i="10"/>
  <c r="G354" i="10"/>
  <c r="F354" i="10"/>
  <c r="E354" i="10"/>
  <c r="H353" i="10"/>
  <c r="W352" i="10"/>
  <c r="R352" i="10"/>
  <c r="M352" i="10"/>
  <c r="H352" i="10"/>
  <c r="W351" i="10"/>
  <c r="R351" i="10"/>
  <c r="M351" i="10"/>
  <c r="H351" i="10"/>
  <c r="W350" i="10"/>
  <c r="R350" i="10"/>
  <c r="M350" i="10"/>
  <c r="H350" i="10"/>
  <c r="W349" i="10"/>
  <c r="R349" i="10"/>
  <c r="M349" i="10"/>
  <c r="H349" i="10"/>
  <c r="W348" i="10"/>
  <c r="R348" i="10"/>
  <c r="M348" i="10"/>
  <c r="H348" i="10"/>
  <c r="W347" i="10"/>
  <c r="R347" i="10"/>
  <c r="M347" i="10"/>
  <c r="H347" i="10"/>
  <c r="W346" i="10"/>
  <c r="R346" i="10"/>
  <c r="M346" i="10"/>
  <c r="H346" i="10"/>
  <c r="W345" i="10"/>
  <c r="R345" i="10"/>
  <c r="M345" i="10"/>
  <c r="H345" i="10"/>
  <c r="W344" i="10"/>
  <c r="R344" i="10"/>
  <c r="M344" i="10"/>
  <c r="H344" i="10"/>
  <c r="W343" i="10"/>
  <c r="R343" i="10"/>
  <c r="M343" i="10"/>
  <c r="H343" i="10"/>
  <c r="W342" i="10"/>
  <c r="R342" i="10"/>
  <c r="M342" i="10"/>
  <c r="H342" i="10"/>
  <c r="W341" i="10"/>
  <c r="R341" i="10"/>
  <c r="M341" i="10"/>
  <c r="W340" i="10"/>
  <c r="R340" i="10"/>
  <c r="W339" i="10"/>
  <c r="R339" i="10"/>
  <c r="W338" i="10"/>
  <c r="R338" i="10"/>
  <c r="W337" i="10"/>
  <c r="R337" i="10"/>
  <c r="M337" i="10"/>
  <c r="W336" i="10"/>
  <c r="R336" i="10"/>
  <c r="M336" i="10"/>
  <c r="W335" i="10"/>
  <c r="R335" i="10"/>
  <c r="M335" i="10"/>
  <c r="H335" i="10"/>
  <c r="W334" i="10"/>
  <c r="R334" i="10"/>
  <c r="M334" i="10"/>
  <c r="H334" i="10"/>
  <c r="W333" i="10"/>
  <c r="R333" i="10"/>
  <c r="M333" i="10"/>
  <c r="H333" i="10"/>
  <c r="W332" i="10"/>
  <c r="R332" i="10"/>
  <c r="M332" i="10"/>
  <c r="H332" i="10"/>
  <c r="M331" i="10"/>
  <c r="W330" i="10"/>
  <c r="R330" i="10"/>
  <c r="M330" i="10"/>
  <c r="H330" i="10"/>
  <c r="W329" i="10"/>
  <c r="R329" i="10"/>
  <c r="M329" i="10"/>
  <c r="H329" i="10"/>
  <c r="W328" i="10"/>
  <c r="R328" i="10"/>
  <c r="M328" i="10"/>
  <c r="W327" i="10"/>
  <c r="R327" i="10"/>
  <c r="M327" i="10"/>
  <c r="H327" i="10"/>
  <c r="W326" i="10"/>
  <c r="R326" i="10"/>
  <c r="M326" i="10"/>
  <c r="H326" i="10"/>
  <c r="W325" i="10"/>
  <c r="R325" i="10"/>
  <c r="M325" i="10"/>
  <c r="H325" i="10"/>
  <c r="W324" i="10"/>
  <c r="R324" i="10"/>
  <c r="M324" i="10"/>
  <c r="H324" i="10"/>
  <c r="W323" i="10"/>
  <c r="R323" i="10"/>
  <c r="M323" i="10"/>
  <c r="H323" i="10"/>
  <c r="W322" i="10"/>
  <c r="R322" i="10"/>
  <c r="M322" i="10"/>
  <c r="H322" i="10"/>
  <c r="W321" i="10"/>
  <c r="R321" i="10"/>
  <c r="M321" i="10"/>
  <c r="H321" i="10"/>
  <c r="W320" i="10"/>
  <c r="R320" i="10"/>
  <c r="M320" i="10"/>
  <c r="H320" i="10"/>
  <c r="W319" i="10"/>
  <c r="R319" i="10"/>
  <c r="M319" i="10"/>
  <c r="H319" i="10"/>
  <c r="W318" i="10"/>
  <c r="R318" i="10"/>
  <c r="M318" i="10"/>
  <c r="H318" i="10"/>
  <c r="W317" i="10"/>
  <c r="R317" i="10"/>
  <c r="M317" i="10"/>
  <c r="H317" i="10"/>
  <c r="W316" i="10"/>
  <c r="R316" i="10"/>
  <c r="M316" i="10"/>
  <c r="H316" i="10"/>
  <c r="W315" i="10"/>
  <c r="R315" i="10"/>
  <c r="M315" i="10"/>
  <c r="H315" i="10"/>
  <c r="W314" i="10"/>
  <c r="R314" i="10"/>
  <c r="M314" i="10"/>
  <c r="H314" i="10"/>
  <c r="W313" i="10"/>
  <c r="R313" i="10"/>
  <c r="M313" i="10"/>
  <c r="H313" i="10"/>
  <c r="W312" i="10"/>
  <c r="R312" i="10"/>
  <c r="M312" i="10"/>
  <c r="H312" i="10"/>
  <c r="W311" i="10"/>
  <c r="R311" i="10"/>
  <c r="M311" i="10"/>
  <c r="H311" i="10"/>
  <c r="W310" i="10"/>
  <c r="R310" i="10"/>
  <c r="M310" i="10"/>
  <c r="H310" i="10"/>
  <c r="W309" i="10"/>
  <c r="R309" i="10"/>
  <c r="M309" i="10"/>
  <c r="H309" i="10"/>
  <c r="W308" i="10"/>
  <c r="R308" i="10"/>
  <c r="M308" i="10"/>
  <c r="H308" i="10"/>
  <c r="W307" i="10"/>
  <c r="R307" i="10"/>
  <c r="M307" i="10"/>
  <c r="H307" i="10"/>
  <c r="W306" i="10"/>
  <c r="R306" i="10"/>
  <c r="M306" i="10"/>
  <c r="H306" i="10"/>
  <c r="W305" i="10"/>
  <c r="R305" i="10"/>
  <c r="M305" i="10"/>
  <c r="H305" i="10"/>
  <c r="W304" i="10"/>
  <c r="R304" i="10"/>
  <c r="M304" i="10"/>
  <c r="H304" i="10"/>
  <c r="W303" i="10"/>
  <c r="R303" i="10"/>
  <c r="M303" i="10"/>
  <c r="H303" i="10"/>
  <c r="W302" i="10"/>
  <c r="R302" i="10"/>
  <c r="H302" i="10"/>
  <c r="W301" i="10"/>
  <c r="R301" i="10"/>
  <c r="M301" i="10"/>
  <c r="H301" i="10"/>
  <c r="W300" i="10"/>
  <c r="R300" i="10"/>
  <c r="M300" i="10"/>
  <c r="H300" i="10"/>
  <c r="W299" i="10"/>
  <c r="R299" i="10"/>
  <c r="M299" i="10"/>
  <c r="H299" i="10"/>
  <c r="W298" i="10"/>
  <c r="R298" i="10"/>
  <c r="M298" i="10"/>
  <c r="H298" i="10"/>
  <c r="W297" i="10"/>
  <c r="R297" i="10"/>
  <c r="M297" i="10"/>
  <c r="H297" i="10"/>
  <c r="W296" i="10"/>
  <c r="R296" i="10"/>
  <c r="M296" i="10"/>
  <c r="H296" i="10"/>
  <c r="W295" i="10"/>
  <c r="R295" i="10"/>
  <c r="M295" i="10"/>
  <c r="H295" i="10"/>
  <c r="V294" i="10"/>
  <c r="U294" i="10"/>
  <c r="T294" i="10"/>
  <c r="S294" i="10"/>
  <c r="Q294" i="10"/>
  <c r="P294" i="10"/>
  <c r="O294" i="10"/>
  <c r="N294" i="10"/>
  <c r="L294" i="10"/>
  <c r="K294" i="10"/>
  <c r="J294" i="10"/>
  <c r="I294" i="10"/>
  <c r="G294" i="10"/>
  <c r="F294" i="10"/>
  <c r="E294" i="10"/>
  <c r="D294" i="10"/>
  <c r="C294" i="10"/>
  <c r="W292" i="10"/>
  <c r="R292" i="10"/>
  <c r="M292" i="10"/>
  <c r="H292" i="10"/>
  <c r="H291" i="10"/>
  <c r="H290" i="10"/>
  <c r="M289" i="10"/>
  <c r="H289" i="10"/>
  <c r="M288" i="10"/>
  <c r="H288" i="10"/>
  <c r="M287" i="10"/>
  <c r="H287" i="10"/>
  <c r="M286" i="10"/>
  <c r="H286" i="10"/>
  <c r="M285" i="10"/>
  <c r="H285" i="10"/>
  <c r="M284" i="10"/>
  <c r="H284" i="10"/>
  <c r="M283" i="10"/>
  <c r="H283" i="10"/>
  <c r="W282" i="10"/>
  <c r="R282" i="10"/>
  <c r="H282" i="10"/>
  <c r="H281" i="10"/>
  <c r="H280" i="10"/>
  <c r="M279" i="10"/>
  <c r="H279" i="10"/>
  <c r="H278" i="10"/>
  <c r="M277" i="10"/>
  <c r="H277" i="10"/>
  <c r="M276" i="10"/>
  <c r="H276" i="10"/>
  <c r="M275" i="10"/>
  <c r="H275" i="10"/>
  <c r="H274" i="10"/>
  <c r="H273" i="10"/>
  <c r="H272" i="10"/>
  <c r="H271" i="10"/>
  <c r="H270" i="10"/>
  <c r="M269" i="10"/>
  <c r="H268" i="10"/>
  <c r="H267" i="10"/>
  <c r="H266" i="10"/>
  <c r="V265" i="10"/>
  <c r="U265" i="10"/>
  <c r="T265" i="10"/>
  <c r="S265" i="10"/>
  <c r="Q265" i="10"/>
  <c r="P265" i="10"/>
  <c r="O265" i="10"/>
  <c r="N265" i="10"/>
  <c r="L265" i="10"/>
  <c r="K265" i="10"/>
  <c r="J265" i="10"/>
  <c r="I265" i="10"/>
  <c r="G265" i="10"/>
  <c r="F265" i="10"/>
  <c r="E265" i="10"/>
  <c r="D265" i="10"/>
  <c r="C265" i="10"/>
  <c r="W263" i="10"/>
  <c r="R263" i="10"/>
  <c r="M263" i="10"/>
  <c r="H263" i="10"/>
  <c r="W262" i="10"/>
  <c r="R262" i="10"/>
  <c r="M262" i="10"/>
  <c r="H262" i="10"/>
  <c r="W261" i="10"/>
  <c r="R261" i="10"/>
  <c r="M261" i="10"/>
  <c r="H261" i="10"/>
  <c r="W260" i="10"/>
  <c r="R260" i="10"/>
  <c r="M260" i="10"/>
  <c r="H260" i="10"/>
  <c r="W259" i="10"/>
  <c r="R259" i="10"/>
  <c r="M259" i="10"/>
  <c r="H259" i="10"/>
  <c r="V258" i="10"/>
  <c r="U258" i="10"/>
  <c r="T258" i="10"/>
  <c r="S258" i="10"/>
  <c r="Q258" i="10"/>
  <c r="P258" i="10"/>
  <c r="O258" i="10"/>
  <c r="N258" i="10"/>
  <c r="L258" i="10"/>
  <c r="K258" i="10"/>
  <c r="J258" i="10"/>
  <c r="I258" i="10"/>
  <c r="G258" i="10"/>
  <c r="F258" i="10"/>
  <c r="E258" i="10"/>
  <c r="D258" i="10"/>
  <c r="C258" i="10"/>
  <c r="W256" i="10"/>
  <c r="R256" i="10"/>
  <c r="M256" i="10"/>
  <c r="H256" i="10"/>
  <c r="W255" i="10"/>
  <c r="R255" i="10"/>
  <c r="M255" i="10"/>
  <c r="H255" i="10"/>
  <c r="W254" i="10"/>
  <c r="R254" i="10"/>
  <c r="M254" i="10"/>
  <c r="H254" i="10"/>
  <c r="W253" i="10"/>
  <c r="R253" i="10"/>
  <c r="M253" i="10"/>
  <c r="H253" i="10"/>
  <c r="W252" i="10"/>
  <c r="R252" i="10"/>
  <c r="M252" i="10"/>
  <c r="H252" i="10"/>
  <c r="V251" i="10"/>
  <c r="U251" i="10"/>
  <c r="T251" i="10"/>
  <c r="S251" i="10"/>
  <c r="Q251" i="10"/>
  <c r="P251" i="10"/>
  <c r="O251" i="10"/>
  <c r="N251" i="10"/>
  <c r="L251" i="10"/>
  <c r="L8" i="10" s="1"/>
  <c r="K251" i="10"/>
  <c r="J251" i="10"/>
  <c r="I251" i="10"/>
  <c r="G251" i="10"/>
  <c r="F251" i="10"/>
  <c r="E251" i="10"/>
  <c r="D251" i="10"/>
  <c r="C251" i="10"/>
  <c r="W249" i="10"/>
  <c r="R249" i="10"/>
  <c r="M249" i="10"/>
  <c r="H249" i="10"/>
  <c r="W247" i="10"/>
  <c r="R247" i="10"/>
  <c r="M247" i="10"/>
  <c r="H247" i="10"/>
  <c r="W246" i="10"/>
  <c r="R246" i="10"/>
  <c r="M246" i="10"/>
  <c r="H246" i="10"/>
  <c r="W245" i="10"/>
  <c r="R245" i="10"/>
  <c r="M245" i="10"/>
  <c r="H245" i="10"/>
  <c r="W244" i="10"/>
  <c r="R244" i="10"/>
  <c r="M244" i="10"/>
  <c r="H244" i="10"/>
  <c r="W243" i="10"/>
  <c r="R243" i="10"/>
  <c r="M243" i="10"/>
  <c r="H243" i="10"/>
  <c r="W242" i="10"/>
  <c r="R242" i="10"/>
  <c r="M242" i="10"/>
  <c r="H242" i="10"/>
  <c r="W241" i="10"/>
  <c r="R241" i="10"/>
  <c r="M241" i="10"/>
  <c r="H241" i="10"/>
  <c r="W240" i="10"/>
  <c r="R240" i="10"/>
  <c r="M240" i="10"/>
  <c r="H240" i="10"/>
  <c r="W239" i="10"/>
  <c r="R239" i="10"/>
  <c r="M239" i="10"/>
  <c r="H239" i="10"/>
  <c r="W238" i="10"/>
  <c r="R238" i="10"/>
  <c r="M238" i="10"/>
  <c r="H238" i="10"/>
  <c r="W237" i="10"/>
  <c r="R237" i="10"/>
  <c r="M237" i="10"/>
  <c r="H237" i="10"/>
  <c r="V236" i="10"/>
  <c r="U236" i="10"/>
  <c r="T236" i="10"/>
  <c r="S236" i="10"/>
  <c r="Q236" i="10"/>
  <c r="P236" i="10"/>
  <c r="O236" i="10"/>
  <c r="N236" i="10"/>
  <c r="L236" i="10"/>
  <c r="K236" i="10"/>
  <c r="J236" i="10"/>
  <c r="I236" i="10"/>
  <c r="G236" i="10"/>
  <c r="F236" i="10"/>
  <c r="E236" i="10"/>
  <c r="D236" i="10"/>
  <c r="C236" i="10"/>
  <c r="W234" i="10"/>
  <c r="R234" i="10"/>
  <c r="M234" i="10"/>
  <c r="H234" i="10"/>
  <c r="W233" i="10"/>
  <c r="R233" i="10"/>
  <c r="M233" i="10"/>
  <c r="H233" i="10"/>
  <c r="W232" i="10"/>
  <c r="R232" i="10"/>
  <c r="M232" i="10"/>
  <c r="H232" i="10"/>
  <c r="W231" i="10"/>
  <c r="R231" i="10"/>
  <c r="M231" i="10"/>
  <c r="H231" i="10"/>
  <c r="W230" i="10"/>
  <c r="R230" i="10"/>
  <c r="M230" i="10"/>
  <c r="H230" i="10"/>
  <c r="W229" i="10"/>
  <c r="R229" i="10"/>
  <c r="M229" i="10"/>
  <c r="H229" i="10"/>
  <c r="V228" i="10"/>
  <c r="U228" i="10"/>
  <c r="T228" i="10"/>
  <c r="S228" i="10"/>
  <c r="Q228" i="10"/>
  <c r="P228" i="10"/>
  <c r="O228" i="10"/>
  <c r="R228" i="10" s="1"/>
  <c r="N228" i="10"/>
  <c r="L228" i="10"/>
  <c r="K228" i="10"/>
  <c r="J228" i="10"/>
  <c r="I228" i="10"/>
  <c r="G228" i="10"/>
  <c r="F228" i="10"/>
  <c r="E228" i="10"/>
  <c r="D228" i="10"/>
  <c r="C228" i="10"/>
  <c r="V226" i="10"/>
  <c r="U226" i="10"/>
  <c r="T226" i="10"/>
  <c r="S226" i="10"/>
  <c r="Q226" i="10"/>
  <c r="P226" i="10"/>
  <c r="R226" i="10" s="1"/>
  <c r="O226" i="10"/>
  <c r="N226" i="10"/>
  <c r="L226" i="10"/>
  <c r="K226" i="10"/>
  <c r="K8" i="10" s="1"/>
  <c r="H226" i="10"/>
  <c r="W224" i="10"/>
  <c r="R224" i="10"/>
  <c r="M224" i="10"/>
  <c r="H224" i="10"/>
  <c r="W223" i="10"/>
  <c r="R223" i="10"/>
  <c r="M223" i="10"/>
  <c r="H223" i="10"/>
  <c r="W222" i="10"/>
  <c r="R222" i="10"/>
  <c r="M222" i="10"/>
  <c r="H222" i="10"/>
  <c r="W221" i="10"/>
  <c r="R221" i="10"/>
  <c r="M221" i="10"/>
  <c r="H221" i="10"/>
  <c r="W220" i="10"/>
  <c r="R220" i="10"/>
  <c r="M220" i="10"/>
  <c r="H220" i="10"/>
  <c r="W219" i="10"/>
  <c r="R219" i="10"/>
  <c r="M219" i="10"/>
  <c r="H219" i="10"/>
  <c r="W218" i="10"/>
  <c r="R218" i="10"/>
  <c r="M218" i="10"/>
  <c r="H218" i="10"/>
  <c r="W217" i="10"/>
  <c r="R217" i="10"/>
  <c r="M217" i="10"/>
  <c r="H217" i="10"/>
  <c r="W216" i="10"/>
  <c r="R216" i="10"/>
  <c r="M216" i="10"/>
  <c r="H216" i="10"/>
  <c r="W215" i="10"/>
  <c r="R215" i="10"/>
  <c r="M215" i="10"/>
  <c r="H215" i="10"/>
  <c r="W214" i="10"/>
  <c r="R214" i="10"/>
  <c r="M214" i="10"/>
  <c r="H214" i="10"/>
  <c r="W213" i="10"/>
  <c r="R213" i="10"/>
  <c r="M213" i="10"/>
  <c r="H213" i="10"/>
  <c r="W212" i="10"/>
  <c r="R212" i="10"/>
  <c r="M212" i="10"/>
  <c r="H212" i="10"/>
  <c r="W211" i="10"/>
  <c r="R211" i="10"/>
  <c r="M211" i="10"/>
  <c r="H211" i="10"/>
  <c r="W210" i="10"/>
  <c r="R210" i="10"/>
  <c r="M210" i="10"/>
  <c r="H210" i="10"/>
  <c r="W209" i="10"/>
  <c r="R209" i="10"/>
  <c r="M209" i="10"/>
  <c r="H209" i="10"/>
  <c r="W208" i="10"/>
  <c r="R208" i="10"/>
  <c r="M208" i="10"/>
  <c r="H208" i="10"/>
  <c r="W207" i="10"/>
  <c r="R207" i="10"/>
  <c r="M207" i="10"/>
  <c r="H207" i="10"/>
  <c r="W206" i="10"/>
  <c r="R206" i="10"/>
  <c r="M206" i="10"/>
  <c r="H206" i="10"/>
  <c r="W205" i="10"/>
  <c r="R205" i="10"/>
  <c r="M205" i="10"/>
  <c r="H205" i="10"/>
  <c r="W204" i="10"/>
  <c r="R204" i="10"/>
  <c r="M204" i="10"/>
  <c r="H204" i="10"/>
  <c r="W203" i="10"/>
  <c r="R203" i="10"/>
  <c r="M203" i="10"/>
  <c r="H203" i="10"/>
  <c r="W202" i="10"/>
  <c r="R202" i="10"/>
  <c r="M202" i="10"/>
  <c r="H202" i="10"/>
  <c r="W201" i="10"/>
  <c r="R201" i="10"/>
  <c r="M201" i="10"/>
  <c r="H201" i="10"/>
  <c r="W200" i="10"/>
  <c r="R200" i="10"/>
  <c r="M200" i="10"/>
  <c r="H200" i="10"/>
  <c r="W199" i="10"/>
  <c r="R199" i="10"/>
  <c r="M199" i="10"/>
  <c r="H199" i="10"/>
  <c r="W198" i="10"/>
  <c r="R198" i="10"/>
  <c r="M198" i="10"/>
  <c r="H198" i="10"/>
  <c r="W197" i="10"/>
  <c r="R197" i="10"/>
  <c r="M197" i="10"/>
  <c r="H197" i="10"/>
  <c r="W196" i="10"/>
  <c r="R196" i="10"/>
  <c r="M196" i="10"/>
  <c r="H196" i="10"/>
  <c r="W195" i="10"/>
  <c r="R195" i="10"/>
  <c r="M195" i="10"/>
  <c r="H195" i="10"/>
  <c r="W194" i="10"/>
  <c r="R194" i="10"/>
  <c r="M194" i="10"/>
  <c r="H194" i="10"/>
  <c r="W193" i="10"/>
  <c r="R193" i="10"/>
  <c r="M193" i="10"/>
  <c r="H193" i="10"/>
  <c r="W192" i="10"/>
  <c r="R192" i="10"/>
  <c r="M192" i="10"/>
  <c r="H192" i="10"/>
  <c r="W191" i="10"/>
  <c r="R191" i="10"/>
  <c r="M191" i="10"/>
  <c r="H191" i="10"/>
  <c r="W190" i="10"/>
  <c r="R190" i="10"/>
  <c r="M190" i="10"/>
  <c r="H190" i="10"/>
  <c r="W189" i="10"/>
  <c r="R189" i="10"/>
  <c r="M189" i="10"/>
  <c r="H189" i="10"/>
  <c r="W188" i="10"/>
  <c r="R188" i="10"/>
  <c r="M188" i="10"/>
  <c r="H188" i="10"/>
  <c r="W187" i="10"/>
  <c r="R187" i="10"/>
  <c r="M187" i="10"/>
  <c r="H187" i="10"/>
  <c r="W186" i="10"/>
  <c r="R186" i="10"/>
  <c r="M186" i="10"/>
  <c r="H186" i="10"/>
  <c r="W185" i="10"/>
  <c r="R185" i="10"/>
  <c r="M185" i="10"/>
  <c r="H185" i="10"/>
  <c r="W184" i="10"/>
  <c r="R184" i="10"/>
  <c r="M184" i="10"/>
  <c r="H184" i="10"/>
  <c r="W183" i="10"/>
  <c r="R183" i="10"/>
  <c r="M183" i="10"/>
  <c r="H183" i="10"/>
  <c r="W182" i="10"/>
  <c r="R182" i="10"/>
  <c r="M182" i="10"/>
  <c r="H182" i="10"/>
  <c r="W181" i="10"/>
  <c r="R181" i="10"/>
  <c r="M181" i="10"/>
  <c r="H181" i="10"/>
  <c r="W180" i="10"/>
  <c r="R180" i="10"/>
  <c r="M180" i="10"/>
  <c r="H180" i="10"/>
  <c r="W179" i="10"/>
  <c r="R179" i="10"/>
  <c r="M179" i="10"/>
  <c r="H179" i="10"/>
  <c r="W178" i="10"/>
  <c r="R178" i="10"/>
  <c r="M178" i="10"/>
  <c r="H178" i="10"/>
  <c r="W177" i="10"/>
  <c r="R177" i="10"/>
  <c r="M177" i="10"/>
  <c r="H177" i="10"/>
  <c r="W176" i="10"/>
  <c r="R176" i="10"/>
  <c r="M176" i="10"/>
  <c r="H176" i="10"/>
  <c r="W175" i="10"/>
  <c r="R175" i="10"/>
  <c r="M175" i="10"/>
  <c r="H175" i="10"/>
  <c r="W174" i="10"/>
  <c r="R174" i="10"/>
  <c r="M174" i="10"/>
  <c r="H174" i="10"/>
  <c r="W173" i="10"/>
  <c r="R173" i="10"/>
  <c r="M173" i="10"/>
  <c r="H173" i="10"/>
  <c r="W172" i="10"/>
  <c r="R172" i="10"/>
  <c r="M172" i="10"/>
  <c r="H172" i="10"/>
  <c r="W171" i="10"/>
  <c r="R171" i="10"/>
  <c r="M171" i="10"/>
  <c r="H171" i="10"/>
  <c r="W170" i="10"/>
  <c r="R170" i="10"/>
  <c r="M170" i="10"/>
  <c r="H170" i="10"/>
  <c r="W169" i="10"/>
  <c r="R169" i="10"/>
  <c r="M169" i="10"/>
  <c r="H169" i="10"/>
  <c r="W168" i="10"/>
  <c r="R168" i="10"/>
  <c r="M168" i="10"/>
  <c r="H168" i="10"/>
  <c r="W167" i="10"/>
  <c r="R167" i="10"/>
  <c r="M167" i="10"/>
  <c r="H167" i="10"/>
  <c r="W166" i="10"/>
  <c r="R166" i="10"/>
  <c r="M166" i="10"/>
  <c r="H166" i="10"/>
  <c r="W165" i="10"/>
  <c r="R165" i="10"/>
  <c r="M165" i="10"/>
  <c r="H165" i="10"/>
  <c r="W164" i="10"/>
  <c r="R164" i="10"/>
  <c r="M164" i="10"/>
  <c r="H164" i="10"/>
  <c r="W163" i="10"/>
  <c r="R163" i="10"/>
  <c r="M163" i="10"/>
  <c r="H163" i="10"/>
  <c r="W162" i="10"/>
  <c r="R162" i="10"/>
  <c r="M162" i="10"/>
  <c r="H162" i="10"/>
  <c r="W161" i="10"/>
  <c r="R161" i="10"/>
  <c r="M161" i="10"/>
  <c r="H161" i="10"/>
  <c r="W160" i="10"/>
  <c r="R160" i="10"/>
  <c r="M160" i="10"/>
  <c r="H160" i="10"/>
  <c r="W159" i="10"/>
  <c r="R159" i="10"/>
  <c r="M159" i="10"/>
  <c r="H159" i="10"/>
  <c r="W158" i="10"/>
  <c r="R158" i="10"/>
  <c r="M158" i="10"/>
  <c r="H158" i="10"/>
  <c r="W157" i="10"/>
  <c r="R157" i="10"/>
  <c r="M157" i="10"/>
  <c r="H157" i="10"/>
  <c r="W156" i="10"/>
  <c r="R156" i="10"/>
  <c r="M156" i="10"/>
  <c r="H156" i="10"/>
  <c r="W155" i="10"/>
  <c r="R155" i="10"/>
  <c r="M155" i="10"/>
  <c r="H155" i="10"/>
  <c r="W154" i="10"/>
  <c r="R154" i="10"/>
  <c r="M154" i="10"/>
  <c r="H154" i="10"/>
  <c r="W153" i="10"/>
  <c r="R153" i="10"/>
  <c r="M153" i="10"/>
  <c r="H153" i="10"/>
  <c r="W152" i="10"/>
  <c r="R152" i="10"/>
  <c r="M152" i="10"/>
  <c r="H152" i="10"/>
  <c r="W151" i="10"/>
  <c r="R151" i="10"/>
  <c r="M151" i="10"/>
  <c r="H151" i="10"/>
  <c r="W150" i="10"/>
  <c r="R150" i="10"/>
  <c r="M150" i="10"/>
  <c r="H150" i="10"/>
  <c r="W149" i="10"/>
  <c r="R149" i="10"/>
  <c r="M149" i="10"/>
  <c r="H149" i="10"/>
  <c r="W148" i="10"/>
  <c r="R148" i="10"/>
  <c r="M148" i="10"/>
  <c r="H148" i="10"/>
  <c r="W147" i="10"/>
  <c r="R147" i="10"/>
  <c r="M147" i="10"/>
  <c r="H147" i="10"/>
  <c r="W146" i="10"/>
  <c r="R146" i="10"/>
  <c r="M146" i="10"/>
  <c r="H146" i="10"/>
  <c r="W145" i="10"/>
  <c r="R145" i="10"/>
  <c r="M145" i="10"/>
  <c r="H145" i="10"/>
  <c r="W144" i="10"/>
  <c r="R144" i="10"/>
  <c r="M144" i="10"/>
  <c r="H144" i="10"/>
  <c r="W143" i="10"/>
  <c r="R143" i="10"/>
  <c r="M143" i="10"/>
  <c r="H143" i="10"/>
  <c r="W142" i="10"/>
  <c r="R142" i="10"/>
  <c r="M142" i="10"/>
  <c r="H142" i="10"/>
  <c r="W141" i="10"/>
  <c r="R141" i="10"/>
  <c r="M141" i="10"/>
  <c r="H141" i="10"/>
  <c r="W140" i="10"/>
  <c r="R140" i="10"/>
  <c r="M140" i="10"/>
  <c r="H140" i="10"/>
  <c r="W139" i="10"/>
  <c r="R139" i="10"/>
  <c r="M139" i="10"/>
  <c r="H139" i="10"/>
  <c r="W138" i="10"/>
  <c r="R138" i="10"/>
  <c r="M138" i="10"/>
  <c r="H138" i="10"/>
  <c r="W137" i="10"/>
  <c r="R137" i="10"/>
  <c r="M137" i="10"/>
  <c r="H137" i="10"/>
  <c r="W136" i="10"/>
  <c r="R136" i="10"/>
  <c r="M136" i="10"/>
  <c r="H136" i="10"/>
  <c r="W135" i="10"/>
  <c r="R135" i="10"/>
  <c r="M135" i="10"/>
  <c r="H135" i="10"/>
  <c r="W134" i="10"/>
  <c r="R134" i="10"/>
  <c r="M134" i="10"/>
  <c r="H134" i="10"/>
  <c r="W133" i="10"/>
  <c r="R133" i="10"/>
  <c r="M133" i="10"/>
  <c r="H133" i="10"/>
  <c r="W132" i="10"/>
  <c r="R132" i="10"/>
  <c r="M132" i="10"/>
  <c r="H132" i="10"/>
  <c r="W131" i="10"/>
  <c r="R131" i="10"/>
  <c r="M131" i="10"/>
  <c r="H131" i="10"/>
  <c r="W130" i="10"/>
  <c r="R130" i="10"/>
  <c r="M130" i="10"/>
  <c r="H130" i="10"/>
  <c r="W129" i="10"/>
  <c r="R129" i="10"/>
  <c r="M129" i="10"/>
  <c r="H129" i="10"/>
  <c r="W128" i="10"/>
  <c r="R128" i="10"/>
  <c r="M128" i="10"/>
  <c r="H128" i="10"/>
  <c r="W127" i="10"/>
  <c r="R127" i="10"/>
  <c r="M127" i="10"/>
  <c r="H127" i="10"/>
  <c r="W126" i="10"/>
  <c r="R126" i="10"/>
  <c r="M126" i="10"/>
  <c r="H126" i="10"/>
  <c r="W125" i="10"/>
  <c r="R125" i="10"/>
  <c r="M125" i="10"/>
  <c r="H125" i="10"/>
  <c r="W124" i="10"/>
  <c r="R124" i="10"/>
  <c r="M124" i="10"/>
  <c r="H124" i="10"/>
  <c r="W123" i="10"/>
  <c r="R123" i="10"/>
  <c r="M123" i="10"/>
  <c r="H123" i="10"/>
  <c r="W122" i="10"/>
  <c r="R122" i="10"/>
  <c r="M122" i="10"/>
  <c r="H122" i="10"/>
  <c r="W121" i="10"/>
  <c r="R121" i="10"/>
  <c r="M121" i="10"/>
  <c r="H121" i="10"/>
  <c r="W120" i="10"/>
  <c r="R120" i="10"/>
  <c r="M120" i="10"/>
  <c r="H120" i="10"/>
  <c r="W119" i="10"/>
  <c r="R119" i="10"/>
  <c r="M119" i="10"/>
  <c r="H119" i="10"/>
  <c r="W118" i="10"/>
  <c r="R118" i="10"/>
  <c r="M118" i="10"/>
  <c r="H118" i="10"/>
  <c r="W117" i="10"/>
  <c r="R117" i="10"/>
  <c r="M117" i="10"/>
  <c r="H117" i="10"/>
  <c r="W116" i="10"/>
  <c r="R116" i="10"/>
  <c r="M116" i="10"/>
  <c r="H116" i="10"/>
  <c r="W115" i="10"/>
  <c r="R115" i="10"/>
  <c r="M115" i="10"/>
  <c r="H115" i="10"/>
  <c r="W114" i="10"/>
  <c r="R114" i="10"/>
  <c r="M114" i="10"/>
  <c r="H114" i="10"/>
  <c r="W113" i="10"/>
  <c r="R113" i="10"/>
  <c r="M113" i="10"/>
  <c r="H113" i="10"/>
  <c r="W112" i="10"/>
  <c r="R112" i="10"/>
  <c r="M112" i="10"/>
  <c r="H112" i="10"/>
  <c r="W111" i="10"/>
  <c r="R111" i="10"/>
  <c r="M111" i="10"/>
  <c r="H111" i="10"/>
  <c r="W110" i="10"/>
  <c r="R110" i="10"/>
  <c r="M110" i="10"/>
  <c r="H110" i="10"/>
  <c r="W109" i="10"/>
  <c r="R109" i="10"/>
  <c r="M109" i="10"/>
  <c r="H109" i="10"/>
  <c r="W108" i="10"/>
  <c r="R108" i="10"/>
  <c r="M108" i="10"/>
  <c r="H108" i="10"/>
  <c r="W107" i="10"/>
  <c r="R107" i="10"/>
  <c r="M107" i="10"/>
  <c r="H107" i="10"/>
  <c r="W106" i="10"/>
  <c r="R106" i="10"/>
  <c r="M106" i="10"/>
  <c r="H106" i="10"/>
  <c r="W105" i="10"/>
  <c r="R105" i="10"/>
  <c r="M105" i="10"/>
  <c r="H105" i="10"/>
  <c r="W104" i="10"/>
  <c r="R104" i="10"/>
  <c r="M104" i="10"/>
  <c r="H104" i="10"/>
  <c r="W103" i="10"/>
  <c r="R103" i="10"/>
  <c r="M103" i="10"/>
  <c r="H103" i="10"/>
  <c r="W102" i="10"/>
  <c r="R102" i="10"/>
  <c r="M102" i="10"/>
  <c r="H102" i="10"/>
  <c r="W101" i="10"/>
  <c r="R101" i="10"/>
  <c r="M101" i="10"/>
  <c r="H101" i="10"/>
  <c r="W100" i="10"/>
  <c r="R100" i="10"/>
  <c r="M100" i="10"/>
  <c r="H100" i="10"/>
  <c r="W99" i="10"/>
  <c r="R99" i="10"/>
  <c r="M99" i="10"/>
  <c r="H99" i="10"/>
  <c r="W98" i="10"/>
  <c r="R98" i="10"/>
  <c r="M98" i="10"/>
  <c r="H98" i="10"/>
  <c r="W97" i="10"/>
  <c r="R97" i="10"/>
  <c r="M97" i="10"/>
  <c r="H97" i="10"/>
  <c r="W96" i="10"/>
  <c r="R96" i="10"/>
  <c r="M96" i="10"/>
  <c r="H96" i="10"/>
  <c r="W95" i="10"/>
  <c r="R95" i="10"/>
  <c r="M95" i="10"/>
  <c r="H95" i="10"/>
  <c r="W94" i="10"/>
  <c r="R94" i="10"/>
  <c r="M94" i="10"/>
  <c r="H94" i="10"/>
  <c r="W93" i="10"/>
  <c r="R93" i="10"/>
  <c r="M93" i="10"/>
  <c r="H93" i="10"/>
  <c r="W92" i="10"/>
  <c r="R92" i="10"/>
  <c r="M92" i="10"/>
  <c r="H92" i="10"/>
  <c r="W91" i="10"/>
  <c r="R91" i="10"/>
  <c r="M91" i="10"/>
  <c r="H91" i="10"/>
  <c r="V90" i="10"/>
  <c r="U90" i="10"/>
  <c r="T90" i="10"/>
  <c r="S90" i="10"/>
  <c r="Q90" i="10"/>
  <c r="P90" i="10"/>
  <c r="O90" i="10"/>
  <c r="R90" i="10" s="1"/>
  <c r="N90" i="10"/>
  <c r="L90" i="10"/>
  <c r="K90" i="10"/>
  <c r="J90" i="10"/>
  <c r="M90" i="10" s="1"/>
  <c r="I90" i="10"/>
  <c r="G90" i="10"/>
  <c r="F90" i="10"/>
  <c r="E90" i="10"/>
  <c r="H90" i="10" s="1"/>
  <c r="D90" i="10"/>
  <c r="C90" i="10"/>
  <c r="H88" i="10"/>
  <c r="H87" i="10"/>
  <c r="H86" i="10"/>
  <c r="H85" i="10"/>
  <c r="H82" i="10"/>
  <c r="H81" i="10"/>
  <c r="H79" i="10"/>
  <c r="H75" i="10"/>
  <c r="H74" i="10"/>
  <c r="H73" i="10"/>
  <c r="H71" i="10"/>
  <c r="H66" i="10"/>
  <c r="H65" i="10"/>
  <c r="H62" i="10"/>
  <c r="H57" i="10"/>
  <c r="H56" i="10"/>
  <c r="H55" i="10"/>
  <c r="H53" i="10"/>
  <c r="H49" i="10"/>
  <c r="H48" i="10"/>
  <c r="H47" i="10"/>
  <c r="H46"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V19" i="10"/>
  <c r="U19" i="10"/>
  <c r="T19" i="10"/>
  <c r="S19" i="10"/>
  <c r="Q19" i="10"/>
  <c r="P19" i="10"/>
  <c r="O19" i="10"/>
  <c r="O8" i="10" s="1"/>
  <c r="N19" i="10"/>
  <c r="L19" i="10"/>
  <c r="K19" i="10"/>
  <c r="J19" i="10"/>
  <c r="I19" i="10"/>
  <c r="G19" i="10"/>
  <c r="F19" i="10"/>
  <c r="E19" i="10"/>
  <c r="E8" i="10" s="1"/>
  <c r="E7" i="10" s="1"/>
  <c r="D19" i="10"/>
  <c r="C19" i="10"/>
  <c r="H18" i="10"/>
  <c r="H17" i="10"/>
  <c r="H16" i="10"/>
  <c r="W15" i="10"/>
  <c r="R15" i="10"/>
  <c r="H15" i="10"/>
  <c r="W14" i="10"/>
  <c r="R14" i="10"/>
  <c r="M14" i="10"/>
  <c r="H14" i="10"/>
  <c r="H13" i="10"/>
  <c r="H12" i="10"/>
  <c r="H11" i="10"/>
  <c r="H10" i="10"/>
  <c r="V9" i="10"/>
  <c r="U9" i="10"/>
  <c r="T9" i="10"/>
  <c r="S9" i="10"/>
  <c r="Q9" i="10"/>
  <c r="P9" i="10"/>
  <c r="O9" i="10"/>
  <c r="N9" i="10"/>
  <c r="L9" i="10"/>
  <c r="K9" i="10"/>
  <c r="J9" i="10"/>
  <c r="I9" i="10"/>
  <c r="G9" i="10"/>
  <c r="F9" i="10"/>
  <c r="E9" i="10"/>
  <c r="D9" i="10"/>
  <c r="C9" i="10"/>
  <c r="H943" i="10"/>
  <c r="K357" i="10"/>
  <c r="P357" i="10"/>
  <c r="P8" i="10" s="1"/>
  <c r="U357" i="10"/>
  <c r="J357" i="10"/>
  <c r="O357" i="10"/>
  <c r="R758" i="10"/>
  <c r="I933" i="10"/>
  <c r="J933" i="10" s="1"/>
  <c r="K933" i="10"/>
  <c r="L933" i="10" s="1"/>
  <c r="N933" i="10" s="1"/>
  <c r="O933" i="10" s="1"/>
  <c r="P933" i="10" s="1"/>
  <c r="Q933" i="10" s="1"/>
  <c r="S933" i="10" s="1"/>
  <c r="T933" i="10" s="1"/>
  <c r="I944" i="10"/>
  <c r="J944" i="10"/>
  <c r="K944" i="10" s="1"/>
  <c r="L944" i="10" s="1"/>
  <c r="N944" i="10" s="1"/>
  <c r="O944" i="10"/>
  <c r="P944" i="10" s="1"/>
  <c r="Q944" i="10"/>
  <c r="S944" i="10" s="1"/>
  <c r="T944" i="10" s="1"/>
  <c r="H881" i="10"/>
  <c r="H883" i="10"/>
  <c r="H935" i="10"/>
  <c r="G357" i="10"/>
  <c r="G8" i="10" s="1"/>
  <c r="L357" i="10"/>
  <c r="M357" i="10" s="1"/>
  <c r="Q357" i="10"/>
  <c r="Q8" i="10"/>
  <c r="H939" i="10"/>
  <c r="H954" i="10"/>
  <c r="H959" i="10"/>
  <c r="H966" i="10"/>
  <c r="C8" i="10"/>
  <c r="W226" i="10"/>
  <c r="H258" i="10"/>
  <c r="W258" i="10"/>
  <c r="H950" i="10"/>
  <c r="H953" i="10"/>
  <c r="H509" i="10"/>
  <c r="M509" i="10"/>
  <c r="W509" i="10"/>
  <c r="H582" i="10"/>
  <c r="M582" i="10"/>
  <c r="R582" i="10"/>
  <c r="W582" i="10"/>
  <c r="M686" i="10"/>
  <c r="R686" i="10"/>
  <c r="W686" i="10"/>
  <c r="M764" i="10"/>
  <c r="R764" i="10"/>
  <c r="W764" i="10"/>
  <c r="H932" i="10"/>
  <c r="H949" i="10"/>
  <c r="I951" i="10"/>
  <c r="J951" i="10" s="1"/>
  <c r="K951" i="10" s="1"/>
  <c r="L951" i="10" s="1"/>
  <c r="N951" i="10" s="1"/>
  <c r="O951" i="10"/>
  <c r="P951" i="10" s="1"/>
  <c r="Q951" i="10" s="1"/>
  <c r="S951" i="10" s="1"/>
  <c r="I958" i="10"/>
  <c r="J958" i="10"/>
  <c r="K958" i="10" s="1"/>
  <c r="L958" i="10" s="1"/>
  <c r="N958" i="10"/>
  <c r="O958" i="10" s="1"/>
  <c r="P958" i="10" s="1"/>
  <c r="Q958" i="10" s="1"/>
  <c r="S958" i="10" s="1"/>
  <c r="H958" i="10"/>
  <c r="R236" i="10"/>
  <c r="W236" i="10"/>
  <c r="R358" i="10"/>
  <c r="J863" i="10"/>
  <c r="K863" i="10"/>
  <c r="L863" i="10" s="1"/>
  <c r="N863" i="10"/>
  <c r="O863" i="10" s="1"/>
  <c r="P863" i="10" s="1"/>
  <c r="Q863" i="10" s="1"/>
  <c r="J873" i="10"/>
  <c r="K873" i="10" s="1"/>
  <c r="L873" i="10"/>
  <c r="H886" i="10"/>
  <c r="I937" i="10"/>
  <c r="J937" i="10" s="1"/>
  <c r="K937" i="10"/>
  <c r="L937" i="10" s="1"/>
  <c r="N937" i="10" s="1"/>
  <c r="O937" i="10" s="1"/>
  <c r="P937" i="10" s="1"/>
  <c r="Q937" i="10" s="1"/>
  <c r="S937" i="10" s="1"/>
  <c r="I940" i="10"/>
  <c r="J940" i="10" s="1"/>
  <c r="K940" i="10" s="1"/>
  <c r="L940" i="10"/>
  <c r="N940" i="10" s="1"/>
  <c r="O940" i="10" s="1"/>
  <c r="P940" i="10" s="1"/>
  <c r="Q940" i="10" s="1"/>
  <c r="S940" i="10" s="1"/>
  <c r="H940" i="10"/>
  <c r="I945" i="10"/>
  <c r="J945" i="10"/>
  <c r="K945" i="10"/>
  <c r="L945" i="10" s="1"/>
  <c r="N945" i="10" s="1"/>
  <c r="O945" i="10"/>
  <c r="P945" i="10" s="1"/>
  <c r="Q945" i="10" s="1"/>
  <c r="S945" i="10" s="1"/>
  <c r="T945" i="10" s="1"/>
  <c r="U945" i="10"/>
  <c r="V945" i="10" s="1"/>
  <c r="H945" i="10"/>
  <c r="H947" i="10"/>
  <c r="I947" i="10"/>
  <c r="J947" i="10" s="1"/>
  <c r="K947" i="10" s="1"/>
  <c r="L947" i="10" s="1"/>
  <c r="N947" i="10" s="1"/>
  <c r="O947" i="10"/>
  <c r="P947" i="10" s="1"/>
  <c r="Q947" i="10" s="1"/>
  <c r="S947" i="10" s="1"/>
  <c r="T947" i="10" s="1"/>
  <c r="I962" i="10"/>
  <c r="J962" i="10"/>
  <c r="K962" i="10"/>
  <c r="L962" i="10" s="1"/>
  <c r="N962" i="10" s="1"/>
  <c r="O962" i="10"/>
  <c r="P962" i="10" s="1"/>
  <c r="Q962" i="10" s="1"/>
  <c r="S962" i="10" s="1"/>
  <c r="H962" i="10"/>
  <c r="M892" i="10"/>
  <c r="I936" i="10"/>
  <c r="J936" i="10" s="1"/>
  <c r="K936" i="10"/>
  <c r="L936" i="10" s="1"/>
  <c r="N936" i="10"/>
  <c r="O936" i="10" s="1"/>
  <c r="P936" i="10" s="1"/>
  <c r="Q936" i="10" s="1"/>
  <c r="S936" i="10" s="1"/>
  <c r="H936" i="10"/>
  <c r="H941" i="10"/>
  <c r="I941" i="10"/>
  <c r="J941" i="10" s="1"/>
  <c r="K941" i="10" s="1"/>
  <c r="L941" i="10" s="1"/>
  <c r="N941" i="10" s="1"/>
  <c r="O941" i="10" s="1"/>
  <c r="P941" i="10" s="1"/>
  <c r="Q941" i="10" s="1"/>
  <c r="S941" i="10" s="1"/>
  <c r="I946" i="10"/>
  <c r="J946" i="10"/>
  <c r="K946" i="10" s="1"/>
  <c r="L946" i="10" s="1"/>
  <c r="N946" i="10" s="1"/>
  <c r="O946" i="10" s="1"/>
  <c r="P946" i="10" s="1"/>
  <c r="Q946" i="10"/>
  <c r="S946" i="10" s="1"/>
  <c r="T946" i="10" s="1"/>
  <c r="U946" i="10" s="1"/>
  <c r="V946" i="10" s="1"/>
  <c r="H946" i="10"/>
  <c r="H251" i="10"/>
  <c r="M251" i="10"/>
  <c r="M354" i="10"/>
  <c r="R354" i="10"/>
  <c r="J862" i="10"/>
  <c r="K862" i="10"/>
  <c r="L862" i="10"/>
  <c r="I967" i="10"/>
  <c r="J967" i="10" s="1"/>
  <c r="K967" i="10"/>
  <c r="L967" i="10" s="1"/>
  <c r="N967" i="10" s="1"/>
  <c r="O967" i="10" s="1"/>
  <c r="P967" i="10" s="1"/>
  <c r="Q967" i="10" s="1"/>
  <c r="S967" i="10"/>
  <c r="W358" i="10"/>
  <c r="V357" i="10"/>
  <c r="V8" i="10" s="1"/>
  <c r="H693" i="10"/>
  <c r="W693" i="10"/>
  <c r="H814" i="10"/>
  <c r="R814" i="10"/>
  <c r="W814" i="10"/>
  <c r="M228" i="10"/>
  <c r="W228" i="10"/>
  <c r="H294" i="10"/>
  <c r="M294" i="10"/>
  <c r="H354" i="10"/>
  <c r="T357" i="10"/>
  <c r="W357" i="10" s="1"/>
  <c r="N357" i="10"/>
  <c r="W381" i="10"/>
  <c r="H740" i="10"/>
  <c r="M740" i="10"/>
  <c r="H821" i="10"/>
  <c r="M821" i="10"/>
  <c r="J868" i="10"/>
  <c r="K868" i="10"/>
  <c r="M869" i="10"/>
  <c r="J884" i="10"/>
  <c r="H888" i="10"/>
  <c r="F890" i="10"/>
  <c r="H890" i="10" s="1"/>
  <c r="H893" i="10"/>
  <c r="M893" i="10"/>
  <c r="I955" i="10"/>
  <c r="J955" i="10" s="1"/>
  <c r="K955" i="10" s="1"/>
  <c r="L955" i="10"/>
  <c r="N955" i="10" s="1"/>
  <c r="O955" i="10" s="1"/>
  <c r="P955" i="10" s="1"/>
  <c r="Q955" i="10" s="1"/>
  <c r="S955" i="10"/>
  <c r="H957" i="10"/>
  <c r="I963" i="10"/>
  <c r="J963" i="10"/>
  <c r="K963" i="10"/>
  <c r="L963" i="10" s="1"/>
  <c r="N963" i="10" s="1"/>
  <c r="O963" i="10" s="1"/>
  <c r="P963" i="10" s="1"/>
  <c r="Q963" i="10"/>
  <c r="S963" i="10" s="1"/>
  <c r="P877" i="10"/>
  <c r="Q877" i="10" s="1"/>
  <c r="W90" i="10"/>
  <c r="H228" i="10"/>
  <c r="H265" i="10"/>
  <c r="M358" i="10"/>
  <c r="F358" i="10"/>
  <c r="F357" i="10" s="1"/>
  <c r="F8" i="10" s="1"/>
  <c r="H686" i="10"/>
  <c r="H764" i="10"/>
  <c r="K858" i="10"/>
  <c r="F859" i="10"/>
  <c r="E857" i="10"/>
  <c r="R859" i="10"/>
  <c r="S859" i="10" s="1"/>
  <c r="I860" i="10"/>
  <c r="H860" i="10"/>
  <c r="F865" i="10"/>
  <c r="H865" i="10" s="1"/>
  <c r="R867" i="10"/>
  <c r="S867" i="10"/>
  <c r="R874" i="10"/>
  <c r="S874" i="10"/>
  <c r="O875" i="10"/>
  <c r="P875" i="10"/>
  <c r="Q875" i="10" s="1"/>
  <c r="O892" i="10"/>
  <c r="P892" i="10"/>
  <c r="U933" i="10"/>
  <c r="V933" i="10" s="1"/>
  <c r="O876" i="10"/>
  <c r="T943" i="10"/>
  <c r="U8" i="10"/>
  <c r="M226" i="10"/>
  <c r="R251" i="10"/>
  <c r="W251" i="10"/>
  <c r="M265" i="10"/>
  <c r="R265" i="10"/>
  <c r="W265" i="10"/>
  <c r="W354" i="10"/>
  <c r="H381" i="10"/>
  <c r="M381" i="10"/>
  <c r="R381" i="10"/>
  <c r="H436" i="10"/>
  <c r="M436" i="10"/>
  <c r="R436" i="10"/>
  <c r="W436" i="10"/>
  <c r="R740" i="10"/>
  <c r="W740" i="10"/>
  <c r="R821" i="10"/>
  <c r="W821" i="10"/>
  <c r="M859" i="10"/>
  <c r="J861" i="10"/>
  <c r="M865" i="10"/>
  <c r="M867" i="10"/>
  <c r="G872" i="10"/>
  <c r="I872" i="10" s="1"/>
  <c r="M874" i="10"/>
  <c r="M875" i="10"/>
  <c r="M877" i="10"/>
  <c r="M879" i="10"/>
  <c r="J880" i="10"/>
  <c r="K880" i="10" s="1"/>
  <c r="L880" i="10" s="1"/>
  <c r="N880" i="10"/>
  <c r="T932" i="10"/>
  <c r="U932" i="10"/>
  <c r="V932" i="10" s="1"/>
  <c r="H236" i="10"/>
  <c r="M236" i="10"/>
  <c r="M258" i="10"/>
  <c r="R258" i="10"/>
  <c r="R294" i="10"/>
  <c r="W294" i="10"/>
  <c r="R509" i="10"/>
  <c r="M693" i="10"/>
  <c r="R693" i="10"/>
  <c r="H758" i="10"/>
  <c r="M814" i="10"/>
  <c r="F862" i="10"/>
  <c r="O869" i="10"/>
  <c r="P869" i="10"/>
  <c r="Q869" i="10" s="1"/>
  <c r="P871" i="10"/>
  <c r="Q871" i="10" s="1"/>
  <c r="O879" i="10"/>
  <c r="P879" i="10" s="1"/>
  <c r="Q879" i="10" s="1"/>
  <c r="T935" i="10"/>
  <c r="U935" i="10" s="1"/>
  <c r="V935" i="10" s="1"/>
  <c r="T939" i="10"/>
  <c r="U939" i="10" s="1"/>
  <c r="V939" i="10"/>
  <c r="M864" i="10"/>
  <c r="M871" i="10"/>
  <c r="M876" i="10"/>
  <c r="H880" i="10"/>
  <c r="J881" i="10"/>
  <c r="K881" i="10"/>
  <c r="M887" i="10"/>
  <c r="O888" i="10"/>
  <c r="P888" i="10" s="1"/>
  <c r="Q888" i="10" s="1"/>
  <c r="O889" i="10"/>
  <c r="P889" i="10" s="1"/>
  <c r="Q889" i="10"/>
  <c r="R889" i="10" s="1"/>
  <c r="S889" i="10" s="1"/>
  <c r="R891" i="10"/>
  <c r="S891" i="10"/>
  <c r="T953" i="10"/>
  <c r="U953" i="10"/>
  <c r="U954" i="10"/>
  <c r="I882" i="10"/>
  <c r="H882" i="10"/>
  <c r="M888" i="10"/>
  <c r="M889" i="10"/>
  <c r="O890" i="10"/>
  <c r="P890" i="10" s="1"/>
  <c r="Q890" i="10" s="1"/>
  <c r="M891" i="10"/>
  <c r="T949" i="10"/>
  <c r="U949" i="10"/>
  <c r="V949" i="10" s="1"/>
  <c r="T950" i="10"/>
  <c r="U950" i="10"/>
  <c r="I952" i="10"/>
  <c r="J952" i="10"/>
  <c r="K952" i="10"/>
  <c r="L952" i="10" s="1"/>
  <c r="N952" i="10" s="1"/>
  <c r="O952" i="10" s="1"/>
  <c r="P952" i="10" s="1"/>
  <c r="Q952" i="10" s="1"/>
  <c r="S952" i="10" s="1"/>
  <c r="H952" i="10"/>
  <c r="T958" i="10"/>
  <c r="U958" i="10" s="1"/>
  <c r="V958" i="10" s="1"/>
  <c r="T967" i="10"/>
  <c r="U967" i="10" s="1"/>
  <c r="V967" i="10"/>
  <c r="O887" i="10"/>
  <c r="P887" i="10"/>
  <c r="Q887" i="10" s="1"/>
  <c r="J883" i="10"/>
  <c r="K883" i="10" s="1"/>
  <c r="L883" i="10" s="1"/>
  <c r="N883" i="10"/>
  <c r="R886" i="10"/>
  <c r="S886" i="10"/>
  <c r="T886" i="10" s="1"/>
  <c r="U886" i="10" s="1"/>
  <c r="M890" i="10"/>
  <c r="R893" i="10"/>
  <c r="W893" i="10"/>
  <c r="G930" i="10"/>
  <c r="H930" i="10" s="1"/>
  <c r="I931" i="10"/>
  <c r="H931" i="10"/>
  <c r="I934" i="10"/>
  <c r="J934" i="10" s="1"/>
  <c r="K934" i="10"/>
  <c r="L934" i="10" s="1"/>
  <c r="N934" i="10" s="1"/>
  <c r="O934" i="10" s="1"/>
  <c r="P934" i="10" s="1"/>
  <c r="Q934" i="10" s="1"/>
  <c r="S934" i="10" s="1"/>
  <c r="H934" i="10"/>
  <c r="I938" i="10"/>
  <c r="J938" i="10" s="1"/>
  <c r="K938" i="10"/>
  <c r="L938" i="10" s="1"/>
  <c r="N938" i="10"/>
  <c r="O938" i="10" s="1"/>
  <c r="P938" i="10"/>
  <c r="Q938" i="10" s="1"/>
  <c r="S938" i="10" s="1"/>
  <c r="H938" i="10"/>
  <c r="I942" i="10"/>
  <c r="J942" i="10" s="1"/>
  <c r="K942" i="10"/>
  <c r="L942" i="10" s="1"/>
  <c r="N942" i="10" s="1"/>
  <c r="O942" i="10" s="1"/>
  <c r="P942" i="10" s="1"/>
  <c r="Q942" i="10" s="1"/>
  <c r="S942" i="10" s="1"/>
  <c r="H942" i="10"/>
  <c r="T957" i="10"/>
  <c r="U957" i="10" s="1"/>
  <c r="V957" i="10"/>
  <c r="T966" i="10"/>
  <c r="U966" i="10"/>
  <c r="I956" i="10"/>
  <c r="J956" i="10" s="1"/>
  <c r="K956" i="10"/>
  <c r="L956" i="10" s="1"/>
  <c r="N956" i="10"/>
  <c r="O956" i="10" s="1"/>
  <c r="P956" i="10"/>
  <c r="Q956" i="10" s="1"/>
  <c r="S956" i="10" s="1"/>
  <c r="H956" i="10"/>
  <c r="F885" i="10"/>
  <c r="H885" i="10" s="1"/>
  <c r="M886" i="10"/>
  <c r="I961" i="10"/>
  <c r="J961" i="10"/>
  <c r="K961" i="10" s="1"/>
  <c r="L961" i="10"/>
  <c r="N961" i="10" s="1"/>
  <c r="O961" i="10"/>
  <c r="P961" i="10" s="1"/>
  <c r="Q961" i="10" s="1"/>
  <c r="S961" i="10" s="1"/>
  <c r="H961" i="10"/>
  <c r="I948" i="10"/>
  <c r="J948" i="10"/>
  <c r="K948" i="10" s="1"/>
  <c r="L948" i="10" s="1"/>
  <c r="N948" i="10" s="1"/>
  <c r="O948" i="10" s="1"/>
  <c r="P948" i="10" s="1"/>
  <c r="Q948" i="10" s="1"/>
  <c r="S948" i="10" s="1"/>
  <c r="H948" i="10"/>
  <c r="I965" i="10"/>
  <c r="J965" i="10"/>
  <c r="K965" i="10" s="1"/>
  <c r="L965" i="10"/>
  <c r="N965" i="10" s="1"/>
  <c r="O965" i="10"/>
  <c r="P965" i="10" s="1"/>
  <c r="Q965" i="10" s="1"/>
  <c r="S965" i="10" s="1"/>
  <c r="H965" i="10"/>
  <c r="I960" i="10"/>
  <c r="J960" i="10"/>
  <c r="K960" i="10" s="1"/>
  <c r="L960" i="10" s="1"/>
  <c r="N960" i="10" s="1"/>
  <c r="O960" i="10" s="1"/>
  <c r="P960" i="10" s="1"/>
  <c r="Q960" i="10" s="1"/>
  <c r="S960" i="10" s="1"/>
  <c r="H960" i="10"/>
  <c r="I964" i="10"/>
  <c r="J964" i="10"/>
  <c r="K964" i="10" s="1"/>
  <c r="L964" i="10"/>
  <c r="N964" i="10" s="1"/>
  <c r="O964" i="10"/>
  <c r="P964" i="10" s="1"/>
  <c r="Q964" i="10" s="1"/>
  <c r="S964" i="10" s="1"/>
  <c r="H964" i="10"/>
  <c r="I968" i="10"/>
  <c r="J968" i="10"/>
  <c r="K968" i="10" s="1"/>
  <c r="L968" i="10" s="1"/>
  <c r="N968" i="10" s="1"/>
  <c r="O968" i="10" s="1"/>
  <c r="P968" i="10" s="1"/>
  <c r="Q968" i="10" s="1"/>
  <c r="S968" i="10" s="1"/>
  <c r="H968" i="10"/>
  <c r="W957" i="10"/>
  <c r="R869" i="10"/>
  <c r="S869" i="10" s="1"/>
  <c r="T869" i="10"/>
  <c r="U869" i="10" s="1"/>
  <c r="V869" i="10"/>
  <c r="T955" i="10"/>
  <c r="U955" i="10" s="1"/>
  <c r="V955" i="10"/>
  <c r="R864" i="10"/>
  <c r="S864" i="10" s="1"/>
  <c r="T864" i="10"/>
  <c r="U864" i="10" s="1"/>
  <c r="V864" i="10"/>
  <c r="W958" i="10"/>
  <c r="U947" i="10"/>
  <c r="V947" i="10" s="1"/>
  <c r="T963" i="10"/>
  <c r="U963" i="10" s="1"/>
  <c r="V963" i="10" s="1"/>
  <c r="R890" i="10"/>
  <c r="S890" i="10" s="1"/>
  <c r="W890" i="10" s="1"/>
  <c r="T890" i="10"/>
  <c r="U890" i="10" s="1"/>
  <c r="V890" i="10" s="1"/>
  <c r="X258" i="10"/>
  <c r="T891" i="10"/>
  <c r="U891" i="10" s="1"/>
  <c r="V891" i="10" s="1"/>
  <c r="R879" i="10"/>
  <c r="S879" i="10" s="1"/>
  <c r="J872" i="10"/>
  <c r="K872" i="10" s="1"/>
  <c r="L872" i="10"/>
  <c r="N872" i="10" s="1"/>
  <c r="O872" i="10" s="1"/>
  <c r="J860" i="10"/>
  <c r="E435" i="10"/>
  <c r="J931" i="10"/>
  <c r="K931" i="10" s="1"/>
  <c r="K930" i="10" s="1"/>
  <c r="M883" i="10"/>
  <c r="W949" i="10"/>
  <c r="W939" i="10"/>
  <c r="R871" i="10"/>
  <c r="S871" i="10" s="1"/>
  <c r="R863" i="10"/>
  <c r="S863" i="10" s="1"/>
  <c r="O880" i="10"/>
  <c r="P880" i="10" s="1"/>
  <c r="Q880" i="10"/>
  <c r="H872" i="10"/>
  <c r="W933" i="10"/>
  <c r="G857" i="10"/>
  <c r="H859" i="10"/>
  <c r="T867" i="10"/>
  <c r="L858" i="10"/>
  <c r="W945" i="10"/>
  <c r="R888" i="10"/>
  <c r="S888" i="10" s="1"/>
  <c r="T888" i="10" s="1"/>
  <c r="X251" i="10"/>
  <c r="T859" i="10"/>
  <c r="U859" i="10" s="1"/>
  <c r="V859" i="10" s="1"/>
  <c r="W947" i="10"/>
  <c r="P872" i="10"/>
  <c r="Q872" i="10" s="1"/>
  <c r="N858" i="10"/>
  <c r="J930" i="10"/>
  <c r="K860" i="10"/>
  <c r="M872" i="10"/>
  <c r="U888" i="10"/>
  <c r="V888" i="10" s="1"/>
  <c r="M858" i="10"/>
  <c r="T863" i="10"/>
  <c r="U863" i="10" s="1"/>
  <c r="V863" i="10" s="1"/>
  <c r="W863" i="10" s="1"/>
  <c r="W888" i="10"/>
  <c r="H16" i="9"/>
  <c r="E16" i="9"/>
  <c r="H13" i="9"/>
  <c r="E13" i="9"/>
  <c r="E4" i="9"/>
  <c r="H3" i="9"/>
  <c r="E3" i="9"/>
  <c r="T938" i="10" l="1"/>
  <c r="U938" i="10" s="1"/>
  <c r="V938" i="10" s="1"/>
  <c r="W938" i="10"/>
  <c r="T964" i="10"/>
  <c r="U964" i="10" s="1"/>
  <c r="V964" i="10" s="1"/>
  <c r="T965" i="10"/>
  <c r="U965" i="10" s="1"/>
  <c r="V965" i="10" s="1"/>
  <c r="W965" i="10"/>
  <c r="W961" i="10"/>
  <c r="T961" i="10"/>
  <c r="U961" i="10" s="1"/>
  <c r="V961" i="10" s="1"/>
  <c r="T942" i="10"/>
  <c r="U942" i="10" s="1"/>
  <c r="V942" i="10" s="1"/>
  <c r="W942" i="10"/>
  <c r="T934" i="10"/>
  <c r="U934" i="10" s="1"/>
  <c r="V934" i="10" s="1"/>
  <c r="V886" i="10"/>
  <c r="W886" i="10"/>
  <c r="T889" i="10"/>
  <c r="U889" i="10" s="1"/>
  <c r="V889" i="10" s="1"/>
  <c r="T941" i="10"/>
  <c r="U941" i="10" s="1"/>
  <c r="V941" i="10" s="1"/>
  <c r="W941" i="10"/>
  <c r="T937" i="10"/>
  <c r="U937" i="10" s="1"/>
  <c r="V937" i="10" s="1"/>
  <c r="T968" i="10"/>
  <c r="U968" i="10" s="1"/>
  <c r="V968" i="10" s="1"/>
  <c r="T960" i="10"/>
  <c r="U960" i="10" s="1"/>
  <c r="V960" i="10" s="1"/>
  <c r="W948" i="10"/>
  <c r="T948" i="10"/>
  <c r="U948" i="10" s="1"/>
  <c r="V948" i="10" s="1"/>
  <c r="T956" i="10"/>
  <c r="U956" i="10" s="1"/>
  <c r="V956" i="10" s="1"/>
  <c r="W956" i="10"/>
  <c r="W952" i="10"/>
  <c r="T952" i="10"/>
  <c r="U952" i="10" s="1"/>
  <c r="V952" i="10" s="1"/>
  <c r="T940" i="10"/>
  <c r="U940" i="10" s="1"/>
  <c r="V940" i="10" s="1"/>
  <c r="W940" i="10"/>
  <c r="V966" i="10"/>
  <c r="W966" i="10" s="1"/>
  <c r="N862" i="10"/>
  <c r="M862" i="10"/>
  <c r="W9" i="10"/>
  <c r="S8" i="10"/>
  <c r="J866" i="10"/>
  <c r="K866" i="10" s="1"/>
  <c r="L866" i="10" s="1"/>
  <c r="N866" i="10" s="1"/>
  <c r="M866" i="10"/>
  <c r="K870" i="10"/>
  <c r="L870" i="10" s="1"/>
  <c r="N870" i="10" s="1"/>
  <c r="L860" i="10"/>
  <c r="K857" i="10"/>
  <c r="K435" i="10" s="1"/>
  <c r="K7" i="10" s="1"/>
  <c r="G435" i="10"/>
  <c r="G7" i="10" s="1"/>
  <c r="I857" i="10"/>
  <c r="X259" i="10"/>
  <c r="J882" i="10"/>
  <c r="K882" i="10" s="1"/>
  <c r="L882" i="10" s="1"/>
  <c r="N882" i="10" s="1"/>
  <c r="H862" i="10"/>
  <c r="F857" i="10"/>
  <c r="R19" i="10"/>
  <c r="R880" i="10"/>
  <c r="S880" i="10" s="1"/>
  <c r="W955" i="10"/>
  <c r="K884" i="10"/>
  <c r="L884" i="10" s="1"/>
  <c r="N884" i="10" s="1"/>
  <c r="H19" i="10"/>
  <c r="W967" i="10"/>
  <c r="T962" i="10"/>
  <c r="U962" i="10" s="1"/>
  <c r="V962" i="10" s="1"/>
  <c r="T936" i="10"/>
  <c r="U936" i="10" s="1"/>
  <c r="V936" i="10" s="1"/>
  <c r="W936" i="10"/>
  <c r="W951" i="10"/>
  <c r="T951" i="10"/>
  <c r="U951" i="10" s="1"/>
  <c r="V951" i="10" s="1"/>
  <c r="H9" i="10"/>
  <c r="D8" i="10"/>
  <c r="W19" i="10"/>
  <c r="T8" i="10"/>
  <c r="H358" i="10"/>
  <c r="U867" i="10"/>
  <c r="V867" i="10" s="1"/>
  <c r="W946" i="10"/>
  <c r="R887" i="10"/>
  <c r="S887" i="10" s="1"/>
  <c r="W959" i="10"/>
  <c r="R357" i="10"/>
  <c r="O883" i="10"/>
  <c r="P883" i="10" s="1"/>
  <c r="Q883" i="10" s="1"/>
  <c r="V954" i="10"/>
  <c r="W954" i="10" s="1"/>
  <c r="W891" i="10"/>
  <c r="K861" i="10"/>
  <c r="L861" i="10" s="1"/>
  <c r="N861" i="10" s="1"/>
  <c r="M861" i="10"/>
  <c r="J857" i="10"/>
  <c r="J435" i="10" s="1"/>
  <c r="Q892" i="10"/>
  <c r="R892" i="10" s="1"/>
  <c r="S892" i="10" s="1"/>
  <c r="T874" i="10"/>
  <c r="U874" i="10" s="1"/>
  <c r="V874" i="10" s="1"/>
  <c r="W859" i="10"/>
  <c r="U944" i="10"/>
  <c r="V944" i="10" s="1"/>
  <c r="W944" i="10"/>
  <c r="V953" i="10"/>
  <c r="W953" i="10" s="1"/>
  <c r="L881" i="10"/>
  <c r="N881" i="10" s="1"/>
  <c r="M881" i="10"/>
  <c r="P876" i="10"/>
  <c r="Q876" i="10" s="1"/>
  <c r="W963" i="10"/>
  <c r="I8" i="10"/>
  <c r="M9" i="10"/>
  <c r="N8" i="10"/>
  <c r="R9" i="10"/>
  <c r="J8" i="10"/>
  <c r="J7" i="10" s="1"/>
  <c r="M19" i="10"/>
  <c r="W935" i="10"/>
  <c r="L931" i="10"/>
  <c r="O858" i="10"/>
  <c r="R872" i="10"/>
  <c r="S872" i="10" s="1"/>
  <c r="H357" i="10"/>
  <c r="W864" i="10"/>
  <c r="T871" i="10"/>
  <c r="U871" i="10" s="1"/>
  <c r="V871" i="10" s="1"/>
  <c r="T879" i="10"/>
  <c r="U879" i="10" s="1"/>
  <c r="V879" i="10" s="1"/>
  <c r="W869" i="10"/>
  <c r="I930" i="10"/>
  <c r="W950" i="10"/>
  <c r="V950" i="10"/>
  <c r="U943" i="10"/>
  <c r="V943" i="10" s="1"/>
  <c r="L868" i="10"/>
  <c r="N868" i="10" s="1"/>
  <c r="N873" i="10"/>
  <c r="M873" i="10"/>
  <c r="R877" i="10"/>
  <c r="S877" i="10" s="1"/>
  <c r="M880" i="10"/>
  <c r="M863" i="10"/>
  <c r="O865" i="10"/>
  <c r="P865" i="10" s="1"/>
  <c r="Q865" i="10" s="1"/>
  <c r="K885" i="10"/>
  <c r="L885" i="10" s="1"/>
  <c r="N885" i="10" s="1"/>
  <c r="M885" i="10"/>
  <c r="K878" i="10"/>
  <c r="L878" i="10" s="1"/>
  <c r="N878" i="10" s="1"/>
  <c r="W932" i="10"/>
  <c r="R875" i="10"/>
  <c r="S875" i="10" s="1"/>
  <c r="H861" i="10"/>
  <c r="H35" i="48"/>
  <c r="W892" i="10" l="1"/>
  <c r="T892" i="10"/>
  <c r="U892" i="10" s="1"/>
  <c r="V892" i="10" s="1"/>
  <c r="T875" i="10"/>
  <c r="U875" i="10" s="1"/>
  <c r="V875" i="10" s="1"/>
  <c r="O885" i="10"/>
  <c r="P885" i="10" s="1"/>
  <c r="Q885" i="10" s="1"/>
  <c r="M868" i="10"/>
  <c r="W879" i="10"/>
  <c r="L930" i="10"/>
  <c r="N931" i="10"/>
  <c r="O881" i="10"/>
  <c r="P881" i="10" s="1"/>
  <c r="Q881" i="10" s="1"/>
  <c r="R881" i="10"/>
  <c r="S881" i="10" s="1"/>
  <c r="R861" i="10"/>
  <c r="S861" i="10" s="1"/>
  <c r="O861" i="10"/>
  <c r="P861" i="10" s="1"/>
  <c r="Q861" i="10" s="1"/>
  <c r="R883" i="10"/>
  <c r="S883" i="10" s="1"/>
  <c r="T887" i="10"/>
  <c r="U887" i="10" s="1"/>
  <c r="V887" i="10" s="1"/>
  <c r="T880" i="10"/>
  <c r="U880" i="10" s="1"/>
  <c r="V880" i="10" s="1"/>
  <c r="M882" i="10"/>
  <c r="N860" i="10"/>
  <c r="L857" i="10"/>
  <c r="M860" i="10"/>
  <c r="O866" i="10"/>
  <c r="P866" i="10" s="1"/>
  <c r="Q866" i="10" s="1"/>
  <c r="R866" i="10" s="1"/>
  <c r="S866" i="10" s="1"/>
  <c r="O862" i="10"/>
  <c r="P862" i="10" s="1"/>
  <c r="Q862" i="10" s="1"/>
  <c r="R862" i="10" s="1"/>
  <c r="S862" i="10" s="1"/>
  <c r="P858" i="10"/>
  <c r="D7" i="10"/>
  <c r="H8" i="10"/>
  <c r="M857" i="10"/>
  <c r="I435" i="10"/>
  <c r="I7" i="10" s="1"/>
  <c r="M878" i="10"/>
  <c r="R865" i="10"/>
  <c r="S865" i="10" s="1"/>
  <c r="T877" i="10"/>
  <c r="U877" i="10" s="1"/>
  <c r="V877" i="10" s="1"/>
  <c r="W877" i="10"/>
  <c r="O868" i="10"/>
  <c r="P868" i="10" s="1"/>
  <c r="Q868" i="10" s="1"/>
  <c r="R8" i="10"/>
  <c r="R876" i="10"/>
  <c r="S876" i="10" s="1"/>
  <c r="W962" i="10"/>
  <c r="M884" i="10"/>
  <c r="R882" i="10"/>
  <c r="S882" i="10" s="1"/>
  <c r="O882" i="10"/>
  <c r="P882" i="10" s="1"/>
  <c r="Q882" i="10" s="1"/>
  <c r="M870" i="10"/>
  <c r="W8" i="10"/>
  <c r="W960" i="10"/>
  <c r="W937" i="10"/>
  <c r="W889" i="10"/>
  <c r="W934" i="10"/>
  <c r="W964" i="10"/>
  <c r="O873" i="10"/>
  <c r="P873" i="10" s="1"/>
  <c r="Q873" i="10" s="1"/>
  <c r="M8" i="10"/>
  <c r="O878" i="10"/>
  <c r="P878" i="10" s="1"/>
  <c r="Q878" i="10" s="1"/>
  <c r="W943" i="10"/>
  <c r="M930" i="10"/>
  <c r="W871" i="10"/>
  <c r="T872" i="10"/>
  <c r="U872" i="10" s="1"/>
  <c r="V872" i="10" s="1"/>
  <c r="W874" i="10"/>
  <c r="W867" i="10"/>
  <c r="R884" i="10"/>
  <c r="S884" i="10" s="1"/>
  <c r="O884" i="10"/>
  <c r="P884" i="10" s="1"/>
  <c r="Q884" i="10" s="1"/>
  <c r="F435" i="10"/>
  <c r="H857" i="10"/>
  <c r="R870" i="10"/>
  <c r="S870" i="10" s="1"/>
  <c r="O870" i="10"/>
  <c r="P870" i="10" s="1"/>
  <c r="Q870" i="10" s="1"/>
  <c r="W968" i="10"/>
  <c r="T866" i="10" l="1"/>
  <c r="U866" i="10" s="1"/>
  <c r="V866" i="10" s="1"/>
  <c r="W866" i="10"/>
  <c r="T862" i="10"/>
  <c r="U862" i="10" s="1"/>
  <c r="V862" i="10" s="1"/>
  <c r="W887" i="10"/>
  <c r="W872" i="10"/>
  <c r="R868" i="10"/>
  <c r="S868" i="10" s="1"/>
  <c r="T865" i="10"/>
  <c r="U865" i="10" s="1"/>
  <c r="V865" i="10" s="1"/>
  <c r="Y8" i="10"/>
  <c r="T883" i="10"/>
  <c r="U883" i="10" s="1"/>
  <c r="V883" i="10" s="1"/>
  <c r="W875" i="10"/>
  <c r="H435" i="10"/>
  <c r="F7" i="10"/>
  <c r="H7" i="10" s="1"/>
  <c r="T881" i="10"/>
  <c r="U881" i="10" s="1"/>
  <c r="V881" i="10" s="1"/>
  <c r="T870" i="10"/>
  <c r="U870" i="10" s="1"/>
  <c r="V870" i="10" s="1"/>
  <c r="T884" i="10"/>
  <c r="U884" i="10" s="1"/>
  <c r="V884" i="10" s="1"/>
  <c r="R878" i="10"/>
  <c r="S878" i="10" s="1"/>
  <c r="R873" i="10"/>
  <c r="S873" i="10" s="1"/>
  <c r="T882" i="10"/>
  <c r="U882" i="10" s="1"/>
  <c r="V882" i="10" s="1"/>
  <c r="T876" i="10"/>
  <c r="U876" i="10" s="1"/>
  <c r="V876" i="10" s="1"/>
  <c r="W876" i="10"/>
  <c r="W880" i="10"/>
  <c r="N930" i="10"/>
  <c r="O931" i="10"/>
  <c r="R885" i="10"/>
  <c r="S885" i="10" s="1"/>
  <c r="Q858" i="10"/>
  <c r="O860" i="10"/>
  <c r="N857" i="10"/>
  <c r="T861" i="10"/>
  <c r="U861" i="10" s="1"/>
  <c r="V861" i="10" s="1"/>
  <c r="P931" i="10" l="1"/>
  <c r="O930" i="10"/>
  <c r="T868" i="10"/>
  <c r="U868" i="10" s="1"/>
  <c r="V868" i="10" s="1"/>
  <c r="W868" i="10"/>
  <c r="T878" i="10"/>
  <c r="U878" i="10" s="1"/>
  <c r="V878" i="10" s="1"/>
  <c r="W870" i="10"/>
  <c r="L435" i="10"/>
  <c r="W862" i="10"/>
  <c r="N435" i="10"/>
  <c r="R858" i="10"/>
  <c r="S858" i="10" s="1"/>
  <c r="W873" i="10"/>
  <c r="T873" i="10"/>
  <c r="U873" i="10" s="1"/>
  <c r="V873" i="10" s="1"/>
  <c r="W861" i="10"/>
  <c r="P860" i="10"/>
  <c r="O857" i="10"/>
  <c r="O435" i="10" s="1"/>
  <c r="O7" i="10" s="1"/>
  <c r="T885" i="10"/>
  <c r="U885" i="10" s="1"/>
  <c r="V885" i="10" s="1"/>
  <c r="W885" i="10"/>
  <c r="W882" i="10"/>
  <c r="W884" i="10"/>
  <c r="W881" i="10"/>
  <c r="W883" i="10"/>
  <c r="W865" i="10"/>
  <c r="Q860" i="10" l="1"/>
  <c r="Q857" i="10" s="1"/>
  <c r="R860" i="10"/>
  <c r="S860" i="10" s="1"/>
  <c r="P857" i="10"/>
  <c r="P435" i="10" s="1"/>
  <c r="P7" i="10" s="1"/>
  <c r="R857" i="10"/>
  <c r="W878" i="10"/>
  <c r="T858" i="10"/>
  <c r="S857" i="10"/>
  <c r="N7" i="10"/>
  <c r="L7" i="10"/>
  <c r="M7" i="10" s="1"/>
  <c r="M435" i="10"/>
  <c r="Q931" i="10"/>
  <c r="P930" i="10"/>
  <c r="U858" i="10" l="1"/>
  <c r="T860" i="10"/>
  <c r="U860" i="10" s="1"/>
  <c r="V860" i="10" s="1"/>
  <c r="Q435" i="10"/>
  <c r="Q7" i="10" s="1"/>
  <c r="R7" i="10" s="1"/>
  <c r="Q930" i="10"/>
  <c r="R930" i="10" s="1"/>
  <c r="S931" i="10"/>
  <c r="R435" i="10"/>
  <c r="T857" i="10" l="1"/>
  <c r="S930" i="10"/>
  <c r="T931" i="10"/>
  <c r="V858" i="10"/>
  <c r="V857" i="10" s="1"/>
  <c r="U857" i="10"/>
  <c r="W858" i="10"/>
  <c r="W860" i="10"/>
  <c r="S435" i="10" l="1"/>
  <c r="U931" i="10"/>
  <c r="T930" i="10"/>
  <c r="W857" i="10"/>
  <c r="S7" i="10" l="1"/>
  <c r="U930" i="10"/>
  <c r="U435" i="10" s="1"/>
  <c r="U7" i="10" s="1"/>
  <c r="V931" i="10"/>
  <c r="V930" i="10" s="1"/>
  <c r="W931" i="10"/>
  <c r="T435" i="10"/>
  <c r="T7" i="10" s="1"/>
  <c r="W930" i="10" l="1"/>
  <c r="V435" i="10"/>
  <c r="V7" i="10" s="1"/>
  <c r="W7" i="10"/>
  <c r="Y7" i="10" s="1"/>
  <c r="W435" i="10"/>
  <c r="Y435" i="10" s="1"/>
  <c r="Z7" i="10" s="1"/>
</calcChain>
</file>

<file path=xl/comments1.xml><?xml version="1.0" encoding="utf-8"?>
<comments xmlns="http://schemas.openxmlformats.org/spreadsheetml/2006/main">
  <authors>
    <author>Martha Patricia Barrera Rodriguez</author>
  </authors>
  <commentList>
    <comment ref="H44" authorId="0" shapeId="0">
      <text>
        <r>
          <rPr>
            <b/>
            <sz val="9"/>
            <color indexed="81"/>
            <rFont val="Tahoma"/>
            <family val="2"/>
          </rPr>
          <t>Martha Patricia Barrera Rodriguez:</t>
        </r>
        <r>
          <rPr>
            <sz val="9"/>
            <color indexed="81"/>
            <rFont val="Tahoma"/>
            <family val="2"/>
          </rPr>
          <t xml:space="preserve">
C.I $100,000,000</t>
        </r>
      </text>
    </comment>
    <comment ref="H82" authorId="0" shapeId="0">
      <text>
        <r>
          <rPr>
            <b/>
            <sz val="9"/>
            <color indexed="81"/>
            <rFont val="Tahoma"/>
            <family val="2"/>
          </rPr>
          <t>C.I. $4,400,000,000</t>
        </r>
        <r>
          <rPr>
            <sz val="9"/>
            <color indexed="81"/>
            <rFont val="Tahoma"/>
            <family val="2"/>
          </rPr>
          <t xml:space="preserve">
</t>
        </r>
      </text>
    </comment>
    <comment ref="H83" authorId="0" shapeId="0">
      <text>
        <r>
          <rPr>
            <b/>
            <sz val="9"/>
            <color indexed="81"/>
            <rFont val="Tahoma"/>
            <family val="2"/>
          </rPr>
          <t xml:space="preserve">C.I </t>
        </r>
        <r>
          <rPr>
            <sz val="9"/>
            <color indexed="81"/>
            <rFont val="Tahoma"/>
            <family val="2"/>
          </rPr>
          <t xml:space="preserve">
 $23,695,333,106</t>
        </r>
      </text>
    </comment>
    <comment ref="H84" authorId="0" shapeId="0">
      <text>
        <r>
          <rPr>
            <b/>
            <sz val="9"/>
            <color indexed="81"/>
            <rFont val="Tahoma"/>
            <family val="2"/>
          </rPr>
          <t>C.I 2,127,820,357</t>
        </r>
        <r>
          <rPr>
            <sz val="9"/>
            <color indexed="81"/>
            <rFont val="Tahoma"/>
            <family val="2"/>
          </rPr>
          <t xml:space="preserve">
</t>
        </r>
      </text>
    </comment>
    <comment ref="H85" authorId="0" shapeId="0">
      <text>
        <r>
          <rPr>
            <b/>
            <sz val="9"/>
            <color indexed="81"/>
            <rFont val="Tahoma"/>
            <family val="2"/>
          </rPr>
          <t>C.I. $5,000,000,000</t>
        </r>
        <r>
          <rPr>
            <sz val="9"/>
            <color indexed="81"/>
            <rFont val="Tahoma"/>
            <family val="2"/>
          </rPr>
          <t xml:space="preserve">
</t>
        </r>
      </text>
    </comment>
    <comment ref="H86" authorId="0" shapeId="0">
      <text>
        <r>
          <rPr>
            <b/>
            <sz val="9"/>
            <color indexed="81"/>
            <rFont val="Tahoma"/>
            <family val="2"/>
          </rPr>
          <t>C.I. $4,987,000,000</t>
        </r>
        <r>
          <rPr>
            <sz val="9"/>
            <color indexed="81"/>
            <rFont val="Tahoma"/>
            <family val="2"/>
          </rPr>
          <t xml:space="preserve">
</t>
        </r>
      </text>
    </comment>
    <comment ref="H87" authorId="0" shapeId="0">
      <text>
        <r>
          <rPr>
            <sz val="9"/>
            <color indexed="81"/>
            <rFont val="Tahoma"/>
            <family val="2"/>
          </rPr>
          <t xml:space="preserve">DIA $356,940,000,000
</t>
        </r>
      </text>
    </comment>
    <comment ref="H88" authorId="0" shapeId="0">
      <text>
        <r>
          <rPr>
            <sz val="9"/>
            <color indexed="81"/>
            <rFont val="Tahoma"/>
            <family val="2"/>
          </rPr>
          <t xml:space="preserve">$
</t>
        </r>
      </text>
    </comment>
    <comment ref="H116" authorId="0" shapeId="0">
      <text>
        <r>
          <rPr>
            <b/>
            <sz val="9"/>
            <color indexed="81"/>
            <rFont val="Tahoma"/>
            <family val="2"/>
          </rPr>
          <t>$49,546,206,874</t>
        </r>
      </text>
    </comment>
    <comment ref="H117" authorId="0" shapeId="0">
      <text>
        <r>
          <rPr>
            <b/>
            <sz val="9"/>
            <color indexed="81"/>
            <rFont val="Tahoma"/>
            <family val="2"/>
          </rPr>
          <t>$15,250,000,000</t>
        </r>
        <r>
          <rPr>
            <sz val="9"/>
            <color indexed="81"/>
            <rFont val="Tahoma"/>
            <family val="2"/>
          </rPr>
          <t xml:space="preserve">
</t>
        </r>
      </text>
    </comment>
    <comment ref="H118" authorId="0" shapeId="0">
      <text>
        <r>
          <rPr>
            <b/>
            <sz val="9"/>
            <color indexed="81"/>
            <rFont val="Tahoma"/>
            <family val="2"/>
          </rPr>
          <t>$19,205,000,000</t>
        </r>
        <r>
          <rPr>
            <sz val="9"/>
            <color indexed="81"/>
            <rFont val="Tahoma"/>
            <family val="2"/>
          </rPr>
          <t xml:space="preserve">
</t>
        </r>
      </text>
    </comment>
    <comment ref="H119" authorId="0" shapeId="0">
      <text>
        <r>
          <rPr>
            <sz val="9"/>
            <color indexed="81"/>
            <rFont val="Tahoma"/>
            <family val="2"/>
          </rPr>
          <t xml:space="preserve">$4,635,069,020
</t>
        </r>
      </text>
    </comment>
    <comment ref="H123" authorId="0" shapeId="0">
      <text>
        <r>
          <rPr>
            <b/>
            <sz val="9"/>
            <color indexed="81"/>
            <rFont val="Tahoma"/>
            <family val="2"/>
          </rPr>
          <t>$10,500,000,000</t>
        </r>
        <r>
          <rPr>
            <sz val="9"/>
            <color indexed="81"/>
            <rFont val="Tahoma"/>
            <family val="2"/>
          </rPr>
          <t xml:space="preserve">
</t>
        </r>
      </text>
    </comment>
    <comment ref="H177" authorId="0" shapeId="0">
      <text>
        <r>
          <rPr>
            <b/>
            <sz val="9"/>
            <color indexed="81"/>
            <rFont val="Tahoma"/>
            <family val="2"/>
          </rPr>
          <t>$12,300,000,000</t>
        </r>
        <r>
          <rPr>
            <sz val="9"/>
            <color indexed="81"/>
            <rFont val="Tahoma"/>
            <family val="2"/>
          </rPr>
          <t xml:space="preserve">
</t>
        </r>
      </text>
    </comment>
    <comment ref="H191" authorId="0" shapeId="0">
      <text>
        <r>
          <rPr>
            <b/>
            <sz val="9"/>
            <color indexed="81"/>
            <rFont val="Tahoma"/>
            <family val="2"/>
          </rPr>
          <t>9,000,000,000</t>
        </r>
      </text>
    </comment>
  </commentList>
</comments>
</file>

<file path=xl/comments2.xml><?xml version="1.0" encoding="utf-8"?>
<comments xmlns="http://schemas.openxmlformats.org/spreadsheetml/2006/main">
  <authors>
    <author>Emilia</author>
  </authors>
  <commentList>
    <comment ref="B31" authorId="0" shapeId="0">
      <text>
        <r>
          <rPr>
            <b/>
            <sz val="9"/>
            <color indexed="81"/>
            <rFont val="Tahoma"/>
            <family val="2"/>
          </rPr>
          <t>De acuerdo con la meta presupuestal</t>
        </r>
        <r>
          <rPr>
            <sz val="9"/>
            <color indexed="81"/>
            <rFont val="Tahoma"/>
            <family val="2"/>
          </rPr>
          <t xml:space="preserve">
</t>
        </r>
      </text>
    </comment>
    <comment ref="C31" authorId="0" shapeId="0">
      <text>
        <r>
          <rPr>
            <b/>
            <sz val="9"/>
            <color indexed="81"/>
            <rFont val="Tahoma"/>
            <family val="2"/>
          </rPr>
          <t>De acuerdo con la meta presupuestal</t>
        </r>
        <r>
          <rPr>
            <sz val="9"/>
            <color indexed="81"/>
            <rFont val="Tahoma"/>
            <family val="2"/>
          </rPr>
          <t xml:space="preserve">
</t>
        </r>
      </text>
    </comment>
    <comment ref="T31" authorId="0" shapeId="0">
      <text>
        <r>
          <rPr>
            <b/>
            <sz val="9"/>
            <color indexed="81"/>
            <rFont val="Tahoma"/>
            <family val="2"/>
          </rPr>
          <t>De acuerdo con la meta presupuestal</t>
        </r>
        <r>
          <rPr>
            <sz val="9"/>
            <color indexed="81"/>
            <rFont val="Tahoma"/>
            <family val="2"/>
          </rPr>
          <t xml:space="preserve">
</t>
        </r>
      </text>
    </comment>
    <comment ref="B32" authorId="0" shapeId="0">
      <text>
        <r>
          <rPr>
            <b/>
            <sz val="9"/>
            <color indexed="81"/>
            <rFont val="Tahoma"/>
            <family val="2"/>
          </rPr>
          <t>De acuerdo con la meta presupuestal</t>
        </r>
      </text>
    </comment>
    <comment ref="C32" authorId="0" shapeId="0">
      <text>
        <r>
          <rPr>
            <b/>
            <sz val="9"/>
            <color indexed="81"/>
            <rFont val="Tahoma"/>
            <family val="2"/>
          </rPr>
          <t>De acuerdo con la meta presupuestal</t>
        </r>
      </text>
    </comment>
    <comment ref="T32" authorId="0" shapeId="0">
      <text>
        <r>
          <rPr>
            <b/>
            <sz val="9"/>
            <color indexed="81"/>
            <rFont val="Tahoma"/>
            <family val="2"/>
          </rPr>
          <t>De acuerdo con la meta presupuestal</t>
        </r>
      </text>
    </comment>
  </commentList>
</comments>
</file>

<file path=xl/comments3.xml><?xml version="1.0" encoding="utf-8"?>
<comments xmlns="http://schemas.openxmlformats.org/spreadsheetml/2006/main">
  <authors>
    <author>Cenaida Jerez Ruiz</author>
  </authors>
  <commentList>
    <comment ref="E15" authorId="0" shapeId="0">
      <text>
        <r>
          <rPr>
            <b/>
            <sz val="9"/>
            <color indexed="81"/>
            <rFont val="Tahoma"/>
            <family val="2"/>
          </rPr>
          <t>Propuesta de ajuste al indicador Sondeo de Opinión.</t>
        </r>
        <r>
          <rPr>
            <sz val="9"/>
            <color indexed="81"/>
            <rFont val="Tahoma"/>
            <family val="2"/>
          </rPr>
          <t xml:space="preserve">
</t>
        </r>
      </text>
    </comment>
    <comment ref="V15" authorId="0" shapeId="0">
      <text>
        <r>
          <rPr>
            <sz val="9"/>
            <color indexed="81"/>
            <rFont val="Tahoma"/>
            <family val="2"/>
          </rPr>
          <t xml:space="preserve">El área solicitara por escrito  al JEFE DE LA OAP ajuste al nombre del indicador.
</t>
        </r>
      </text>
    </comment>
    <comment ref="AA15" authorId="0" shapeId="0">
      <text>
        <r>
          <rPr>
            <sz val="9"/>
            <color indexed="81"/>
            <rFont val="Tahoma"/>
            <family val="2"/>
          </rPr>
          <t xml:space="preserve">El área solicitara por escrito  al JEFE DE LA OAP ajuste al nombre del indicador.
</t>
        </r>
      </text>
    </comment>
  </commentList>
</comments>
</file>

<file path=xl/comments4.xml><?xml version="1.0" encoding="utf-8"?>
<comments xmlns="http://schemas.openxmlformats.org/spreadsheetml/2006/main">
  <authors>
    <author>Claudia Marcela Moreno Moreno</author>
  </authors>
  <commentList>
    <comment ref="U26" authorId="0" shapeId="0">
      <text>
        <r>
          <rPr>
            <b/>
            <sz val="9"/>
            <color indexed="81"/>
            <rFont val="Tahoma"/>
            <family val="2"/>
          </rPr>
          <t>De 3 aeropuerto se realizó visita de pre-inspección solo a 1 aeropuerto para el 1° trimestre de 2018</t>
        </r>
        <r>
          <rPr>
            <sz val="9"/>
            <color indexed="81"/>
            <rFont val="Tahoma"/>
            <family val="2"/>
          </rPr>
          <t xml:space="preserve">
</t>
        </r>
      </text>
    </comment>
  </commentList>
</comments>
</file>

<file path=xl/sharedStrings.xml><?xml version="1.0" encoding="utf-8"?>
<sst xmlns="http://schemas.openxmlformats.org/spreadsheetml/2006/main" count="8234" uniqueCount="3065">
  <si>
    <t xml:space="preserve">Compromiso </t>
  </si>
  <si>
    <t>Meta</t>
  </si>
  <si>
    <t>formula indicador</t>
  </si>
  <si>
    <t>Responsable</t>
  </si>
  <si>
    <t>X</t>
  </si>
  <si>
    <t>OFICINA TRANSPORTE AEREO</t>
  </si>
  <si>
    <t>AERONÁUTICA CIVIL - AEROCIVIL
CONSOLIDACION PLAN DE ACCION</t>
  </si>
  <si>
    <t>ÁREA</t>
  </si>
  <si>
    <t>SUB DIRECCIÓN GENERAL</t>
  </si>
  <si>
    <t xml:space="preserve">SECRETARÍA GENERAL </t>
  </si>
  <si>
    <t>DIRECCIÓN DE TALENTO HUMANO</t>
  </si>
  <si>
    <t>DIRECCIÓN DE INFORMÁTICA</t>
  </si>
  <si>
    <t>SECRETARÍA DE SISTEMAS OPERACIONALES</t>
  </si>
  <si>
    <t>DESPACHO</t>
  </si>
  <si>
    <t>DIRECCIÓN DE SEGURIDAD Y SUPERVISIÓN AEROPORTUARIA</t>
  </si>
  <si>
    <t>TELECOMUNICACIONES</t>
  </si>
  <si>
    <t>DIRECCIÓN DE DESARROLLO AEROPORTUARIO</t>
  </si>
  <si>
    <t>DIRECCION SERVICIOS A LA NAVEGACION AEREA</t>
  </si>
  <si>
    <t>SECRETARIA DE SEGURIDAD AÉREA (DIR. ESTANDARES DE  VUELO, DIR. DE MEDICINA DE AVIACION Y  LICENCIAS  AERONAUTICAS)</t>
  </si>
  <si>
    <t>OFICINA DE REGISTRO</t>
  </si>
  <si>
    <t>OFICINA ASESORA JURIDICA</t>
  </si>
  <si>
    <t>OFICINA CONTROL INTERNO</t>
  </si>
  <si>
    <t>OFICINA COMERCIALIZACION</t>
  </si>
  <si>
    <t>OFICINA DE TRANSPORTE AEREO</t>
  </si>
  <si>
    <t>OFICINA CENTRO DE ESTUDIOS DE CIENCIAS AERONAUTICOS</t>
  </si>
  <si>
    <t>OFICINA ASESORA PLANEACION</t>
  </si>
  <si>
    <t>SUBDIRECCION GENERAL</t>
  </si>
  <si>
    <t xml:space="preserve">SECRETARIA SISTEMAS OPERACIONALES </t>
  </si>
  <si>
    <t>DIRECCION DE SERVICIOS A LA NAVEGACION AEREA</t>
  </si>
  <si>
    <t>Actividades realizadas/Actividades programadas</t>
  </si>
  <si>
    <t xml:space="preserve">Actividades desarrolladas/ Actividades propuestas *100
</t>
  </si>
  <si>
    <t>OFICINA  CENTRO DE  ESTUDIOS  AERONAUTICOS</t>
  </si>
  <si>
    <t>DIRECCION  FINANCIERA</t>
  </si>
  <si>
    <t>DIRECCION   ADMINISTRATIVA</t>
  </si>
  <si>
    <t>OFICINA DE CONTROL  INTERNO</t>
  </si>
  <si>
    <t>OFICINA DE COMERCIALIZACION</t>
  </si>
  <si>
    <t>ENTREGADOS</t>
  </si>
  <si>
    <t xml:space="preserve">Hallazgos cerrados OCI/Total de Hallazgos OCI </t>
  </si>
  <si>
    <t>Cierre de hallazgos de Plan de Mejoramiento OCI</t>
  </si>
  <si>
    <t xml:space="preserve">:  # Equipos en servicio / # numero total equipos instalados= % DS (Disponibilidad Servicio)
</t>
  </si>
  <si>
    <t xml:space="preserve">
Aumentar  los niveles de la disponibilidad de la infraestructura aeronáutica CNS-MET-ENE,  para garantizar la prestación de los servicios de control de transito aéreo en el espacio aéreo Colombiano.
</t>
  </si>
  <si>
    <t>DIRECCION DE TELECOMUNICACIONES</t>
  </si>
  <si>
    <t xml:space="preserve"> Modernización de la infraestructura aeronáutica a nivel nacional con la adquisición, instalación y puesta en funcionamiento de equipos y sistemas Comunicaciones  - Navegación – Vigilancia - Meteorología y Energía de acuerdo con la normatividad OACI y el Plan de Navegación Aérea. 
</t>
  </si>
  <si>
    <t>% de avance cumplimiento cronograma</t>
  </si>
  <si>
    <t xml:space="preserve">Reglamentar la certificación y vigilancia de las empresas de trabajos aéreos especiales en la modalidad de ambulancia aérea
</t>
  </si>
  <si>
    <t>% de avance cumplimiento plan de implementación Fase No. 1</t>
  </si>
  <si>
    <t>Alcanzar el 80% de implementación en la Fase 1 del SSP ( Programa de Seguridad Operacional)</t>
  </si>
  <si>
    <t>OBJETIVO  INSTITUCIONAL</t>
  </si>
  <si>
    <t>OFICINA ASESORA DE  PLANEACION - GPROGRAMACION</t>
  </si>
  <si>
    <t>OFICINA ASESORA DE  PLANEACION - GCALIDAD</t>
  </si>
  <si>
    <t>FORTALECER LA GESTION Y EFICIENCIA INSTITUCIONAL</t>
  </si>
  <si>
    <t>Nombre Indicador</t>
  </si>
  <si>
    <t>FOMENTAR LA COBERTURA Y EL CRECIMIENTO DE LA AVIACION CIVIL</t>
  </si>
  <si>
    <t>MEJORAR LA FACILITACION Y LA SEGURIDAD DE LA AVIACION CIVIL</t>
  </si>
  <si>
    <t xml:space="preserve">Fortalecer la mejora continua de la Entidad
</t>
  </si>
  <si>
    <t>Realizar las resoluciones de pago  de condenas</t>
  </si>
  <si>
    <t xml:space="preserve"> Resoluciones de pago de condena</t>
  </si>
  <si>
    <t>Emitir boletines juridicos</t>
  </si>
  <si>
    <t xml:space="preserve"> números de asuntos jurídicos publicadas./# de asuntos juridicos a publicar
</t>
  </si>
  <si>
    <t xml:space="preserve">El saneamiento Contable de las obligaciones que se encuentran mediante 
el proceso de Remisibilidad. 
</t>
  </si>
  <si>
    <t>resoluciones de remisibilidad</t>
  </si>
  <si>
    <t># de resoluciones de remisibilidad /solicitudes de remisibilidad</t>
  </si>
  <si>
    <t xml:space="preserve"> Sistemas CNSmeteorologia y energia en operación / sistemas CNS meteorologia y energia proyectados</t>
  </si>
  <si>
    <t xml:space="preserve"> Disponibilidad del servicio</t>
  </si>
  <si>
    <t xml:space="preserve"> Reducir en un 15% los tiempos de 18 clases de trámites del GSAC.
</t>
  </si>
  <si>
    <t>OFICINA CEA</t>
  </si>
  <si>
    <t>OCI - TODAS AREAS</t>
  </si>
  <si>
    <t>MEJORAR LOS NIVELES DE SEGURIDAD OPERACIONAL DEL TRANSPORTE AEREO</t>
  </si>
  <si>
    <t>MEJORAR LA EFICIENCIA E INCREMENTAR LA CAPACIDAD DE LOS SERVICIOS A LA NAVEGACIO AEREA Y DE LOS SERVICIOS AEROPORTUARIOS.</t>
  </si>
  <si>
    <t>SECRETARÍA GENERAL - DIRECCIÓN  FINANCIERA</t>
  </si>
  <si>
    <t xml:space="preserve">SECRETARÍA GENERAL - DIRECCIÓN ADMINISTRATIVA </t>
  </si>
  <si>
    <t xml:space="preserve">Realizar el seguimiento a la gestión de las Direcciones Regionales Aeronáuticas y coordinar con las dependencias del Nivel Central. </t>
  </si>
  <si>
    <t>MEJOR LA EFICIENCIA E INCREMENTAR LA CAPACIDAD DE LOS SERVICIOS A LA NAVEGACION AEREAS Y DE LOS SERVICIOS AEROPORTUARIOS</t>
  </si>
  <si>
    <t>Cumplimiento de las Metas del Plan de Navegacion Aérea.</t>
  </si>
  <si>
    <t>Metas cumplidas / Metas Programadas</t>
  </si>
  <si>
    <t>Metas PNA</t>
  </si>
  <si>
    <t>Cumplimiento Metas Presupuestales Entidad</t>
  </si>
  <si>
    <t>Metas cumplidas / Metas Programadas (compromisos y obligaciones</t>
  </si>
  <si>
    <t>Promover  marcos  regulatorios que posibiliten el desarrollo de servicios de transporte aéreo de pasajeros y carga,y/o desarrollen figuras de flexibilidad operacional,  que permitan mejorar la conectividad aérea y el fortalecimiento de la relaciones comerciales de Colombia con otros países.</t>
  </si>
  <si>
    <t xml:space="preserve">Instrumentos bilaterales suscritos
</t>
  </si>
  <si>
    <t>Cantidad de Acuerdos suscritos  años 2018 sobre negociaciones en curso durante ese año.</t>
  </si>
  <si>
    <t>indicador PEI</t>
  </si>
  <si>
    <t xml:space="preserve">Fomentar la cobertura y el crecimiento de la aviación civil  
</t>
  </si>
  <si>
    <t>FALTAN ACTVIDADES Y EL CRONOGRAMA CON FECHAS</t>
  </si>
  <si>
    <t>compromiso año a año continua . Fecha de cumplimiento 15 Dic 2018 y Semestral</t>
  </si>
  <si>
    <t>Fecha de cumplimiento 15 Dic 2018 y Semestral</t>
  </si>
  <si>
    <t xml:space="preserve">Reducción de tiempo en los trámites
</t>
  </si>
  <si>
    <t xml:space="preserve"># Trámites que se realizan con disminución de un 15% en los tiempos establecidos en las normas.
</t>
  </si>
  <si>
    <t>Este compromiso es el mismo del 2017 y ha tenido m,uchos inconvenientes para su medición. . Fecha de cumplimiento 15 Dic 2018 y Semestral</t>
  </si>
  <si>
    <t xml:space="preserve">Incrementar el proceso de  intermediación entre la aerolínea y pasajero evitando que se presenten reclamaciones en el aeropuerto El Dorado 
</t>
  </si>
  <si>
    <r>
      <rPr>
        <sz val="10"/>
        <color indexed="10"/>
        <rFont val="Arial"/>
        <family val="2"/>
      </rPr>
      <t>Casos solucionados No de casos presentados</t>
    </r>
    <r>
      <rPr>
        <sz val="10"/>
        <rFont val="Arial"/>
        <family val="2"/>
      </rPr>
      <t xml:space="preserve">
</t>
    </r>
  </si>
  <si>
    <t xml:space="preserve"> Número de intermediaciones realizadas, sobre casos presentados en El Aeropuerto El Dorado.
</t>
  </si>
  <si>
    <t>Unificar las auditorías a los Sistemas de Gestión, con enfoque en productos y servicios, coordinando los alcances y  tiempos de ejecución, reduciendo el impacto en la operación y  optimizando recursos que redunden en el mejoramiento continuo de los procesos, con hallazgos integrales. 
 AUDITORIAS COMBINADAS CON ENFASIS EN                             PRODUCTOS Y SERVICIOS</t>
  </si>
  <si>
    <t>Medir la gestión y resultados de los procesos generadores de Productos y Servicios.</t>
  </si>
  <si>
    <t xml:space="preserve">Productos y Servicios con el cumplimiento de requisitos.
</t>
  </si>
  <si>
    <t>Productos y Servicios Conformes/Total de Productos y Servicios.</t>
  </si>
  <si>
    <t xml:space="preserve">Planificación de Auditorías combinadas de los Sistemas de Gestión Implementados en la Entidad. 
</t>
  </si>
  <si>
    <t xml:space="preserve">Informes de auditorías combinadas –Medición Gestión y Resultados Productos y Servicios de la Entidad.
</t>
  </si>
  <si>
    <t xml:space="preserve">Encuesta de satisfacción de los clientes y partes interesadas.
</t>
  </si>
  <si>
    <t>Revisar la Meta que guarde consistencia con el compromiso y la frecuencia de medición  -  Trimestral. Cumplimiento 31 Dic 2018</t>
  </si>
  <si>
    <t xml:space="preserve">Actividades desarrolladas para reconocimiento como IES- Registro SNIES
</t>
  </si>
  <si>
    <t>(Actividades Desarrolladas/Actividades programadas) * 100</t>
  </si>
  <si>
    <t xml:space="preserve">Seguimiento  al   proceso  de  reconocimiento del CEA como IES en la  obtención del  registro  SNIES  (Sistema Nacional de Información de la Educación Superior) ante el MEN
</t>
  </si>
  <si>
    <t>Enero a Maro 2018</t>
  </si>
  <si>
    <t>Reconocimiento del CEA a nivel internacional en el ámbito de formación del  personal aeronáutico y aeroportuario.l</t>
  </si>
  <si>
    <t xml:space="preserve">Actividades desarrolladas para la obtención de la membresía plena de OACI
</t>
  </si>
  <si>
    <t xml:space="preserve">Validar ante la OACI el material Didáctico Normalizado-CMDN en “Investigación de Incidentes ATS, como herramienta del SMS”
</t>
  </si>
  <si>
    <t xml:space="preserve">Obtener  ante la OACI la membresía plena
</t>
  </si>
  <si>
    <t>in dicador PEI</t>
  </si>
  <si>
    <t>Actividades desarrolladas/ Actividades propuestas *100</t>
  </si>
  <si>
    <t xml:space="preserve">Atender las visitas de verificación de los inspectores de la SSO -Secretaría de Seguridad Operacional y de la Aviación Civil </t>
  </si>
  <si>
    <t>Ajustar de acuerdo con las observaciones presentadas por la SSO los manuales de Directivas de Instrucción</t>
  </si>
  <si>
    <t xml:space="preserve">Recibir la Certificación por parte de la  -Secretaría de Seguridad Operacional y de la Aviación Civil </t>
  </si>
  <si>
    <t>.Fecha de cumplimiento marzo 2018 y medición trimestral. - Revisar guarde consistencia el compromiso y la meta , nombre del indicador</t>
  </si>
  <si>
    <t>.Rvisar el compromiso Vs Meta y el nombre del indicador, Fecha Marzo 2018 - Trimestral</t>
  </si>
  <si>
    <t>.Rvisar el  nombre del indicador y la segunda actividad. Fecha febrero 2018 y trimestral</t>
  </si>
  <si>
    <t>Desarrollar  los  lineamientos  Curriculares  para  iniciar la  transición del CEA  en el  marco de  funcionamiento  como  IES</t>
  </si>
  <si>
    <r>
      <t>índ</t>
    </r>
    <r>
      <rPr>
        <sz val="9"/>
        <rFont val="Arial"/>
        <family val="2"/>
      </rPr>
      <t>ice de normalización de la  oferta  académica</t>
    </r>
    <r>
      <rPr>
        <sz val="10"/>
        <rFont val="Arial"/>
        <family val="2"/>
      </rPr>
      <t xml:space="preserve">
</t>
    </r>
  </si>
  <si>
    <t xml:space="preserve">Programas  Normalizados /Total de Oferta ) * 100
</t>
  </si>
  <si>
    <t xml:space="preserve">Denominar y  regularizar  los  espacios de formación  de acuerdo a la  Guía   “ Clasificación  de Espacios de Formación”
</t>
  </si>
  <si>
    <t>.Revisar todo este compromiso. Fechaa Diciembre  2018 - Falta la medida</t>
  </si>
  <si>
    <t xml:space="preserve">Incrementar  la  elaboración,  circulación y  reconocimiento  de los  productos de  Investigación  elaborados  por  el  Grupo  de Investigación  Aeronáutica  ( GINA) </t>
  </si>
  <si>
    <t>Incrementar en un 20% la elaboración y circulación de productos científicos de acuerdo con los estándares establecidos por COLCIENCIAS.</t>
  </si>
  <si>
    <t xml:space="preserve">Número de productos de investigación elaborados y en circulación
</t>
  </si>
  <si>
    <t>.Revisar todo este compromiso de que cifra se parte para hablar de incremnto del 20%. Fechaa Diciembre  2018 - Semestral</t>
  </si>
  <si>
    <t xml:space="preserve">Articulación interinstitucional ANI-Aerocivil
</t>
  </si>
  <si>
    <t>Cumplimiento del 85%</t>
  </si>
  <si>
    <t xml:space="preserve">Comités Operativos realizados de concesiones y proyectos futuros.
</t>
  </si>
  <si>
    <t>Fecha cumpl . Dic 2018 - mensual</t>
  </si>
  <si>
    <t>Liderar la convocatoria para la efectiva realización del Comité Operativo de proyectos Aeroportuarios ya existentes (Concesiones) y los de estructuraciones  futuras.</t>
  </si>
  <si>
    <t>Desarrollar las reuniones con los temas que se definan para tal fin</t>
  </si>
  <si>
    <t>Llevar el debido registro de las Actas correspondientes a cada reunión efectuada.</t>
  </si>
  <si>
    <t xml:space="preserve">Evaluación de Proyectos Futuros APP/IP y Concesiones
</t>
  </si>
  <si>
    <t xml:space="preserve">Revisión 90% proyectos presentados de entrega de infraestructura aeroportuaria </t>
  </si>
  <si>
    <t xml:space="preserve">Proyectos evaluados
</t>
  </si>
  <si>
    <t xml:space="preserve">Proyectos revisados Vs. proyectos presentados
</t>
  </si>
  <si>
    <t>Fecha cumpl . Dic 2018 - semestral</t>
  </si>
  <si>
    <t xml:space="preserve">Entrega de información de los aeropuertos para la estructuración   
</t>
  </si>
  <si>
    <t xml:space="preserve">Evaluar, vigilar y controlar los diferentes proyectos presentados bajo las distintas modalidades. 
</t>
  </si>
  <si>
    <t xml:space="preserve">Coordinar al interior de la Entidad la revisión de conceptos, viabilidades, conveniencia de los proyectos. 
</t>
  </si>
  <si>
    <t>Análisis de percepción sobre servicios en terminales aeroportuarios</t>
  </si>
  <si>
    <t>80% de evaluación de los aeropuertos programados</t>
  </si>
  <si>
    <t xml:space="preserve">Evaluación servicio en aeropuertos
</t>
  </si>
  <si>
    <t xml:space="preserve">Número de aeropuertos evaluados / Número de aeropuertos programados
</t>
  </si>
  <si>
    <t>Fecha cumpl . Dic 2018 - trimestral</t>
  </si>
  <si>
    <t xml:space="preserve">Desarrollo del formato de aplicación del Sondeo de opinión.
</t>
  </si>
  <si>
    <t xml:space="preserve">Definición y cumplimiento de cronograma.
</t>
  </si>
  <si>
    <t xml:space="preserve">Aplicación del muestreo en aeropuerto seleccionado.
</t>
  </si>
  <si>
    <t xml:space="preserve">Tabulación, análisis y consolidación del informe de resultados.
</t>
  </si>
  <si>
    <t>Presentación informe</t>
  </si>
  <si>
    <t xml:space="preserve">Socialización con las áreas para el desarrollo de matriz de seguimiento.
</t>
  </si>
  <si>
    <t xml:space="preserve">MEJORAR LA EFICIENCIA E INCREMENTAR LA CAPACIDAD DE LOS SERVICIOS A LA NAVEGACIÓN AÉREA Y DE LOS SERVICIOS AEROPORTUARIOS
(Objetivo Estratégico N°2 - PEI 2015 – 2018)
</t>
  </si>
  <si>
    <r>
      <t xml:space="preserve">Mejorar el estado de la infraestructura aeroportuaria de 23  aeródromos/aeropuertos, </t>
    </r>
    <r>
      <rPr>
        <sz val="11"/>
        <color indexed="10"/>
        <rFont val="Calibri"/>
        <family val="2"/>
      </rPr>
      <t>reduciendo el porcentaje</t>
    </r>
  </si>
  <si>
    <t xml:space="preserve">Cómo se calcula el Indicador: Se utilizará la estrategia definida en el Plan de Desarrollo Nacional 2015 – 2018 “Todos por un nuevo país” y que se refleja en el aplicativo SINERGIA del DNP.
</t>
  </si>
  <si>
    <t xml:space="preserve">Fecha cumplimiento Diciembre 2018 - Trimestral % Avance  - Cuales son los aeropuertos y el caluclo del indicador no puede tener solo sinergia. - </t>
  </si>
  <si>
    <t>Intervenir, mínimo 3 aeropuertos con obras de construcción</t>
  </si>
  <si>
    <t xml:space="preserve">Intervenir, mínimo 5 aeropuertos con obras de mantenimiento
</t>
  </si>
  <si>
    <t>Intervenir, mínimo 15 aeropuertos regionales</t>
  </si>
  <si>
    <t xml:space="preserve">Aeropuertos Intervenidos
</t>
  </si>
  <si>
    <t xml:space="preserve">
Aeropuertos para la prosperidad intervenidos
</t>
  </si>
  <si>
    <t>Intervenir 31 aeropuertos con obras de mantenimiento, durante el cuatrienio 2015 – 2018
Intervenir 34 aeropuertos territoriales, durante el cuatrienio 2015 - 2018</t>
  </si>
  <si>
    <t>Cumplimiento de las metas del Plan de Navegación Aérea</t>
  </si>
  <si>
    <t xml:space="preserve">Actividades cumplidas sobre las actividades programadas anuales* 100
</t>
  </si>
  <si>
    <t xml:space="preserve">Fecha cumplimiento Diciembre 2018 - trimestral </t>
  </si>
  <si>
    <t>Elaboración manuales guías Y SOP´s  AIDC Y A-SMGCS</t>
  </si>
  <si>
    <t>Entrenamiento controladores AIDC y A-SMGCS</t>
  </si>
  <si>
    <t xml:space="preserve">Elaborar procedimientos APV para 4 aeropuertos internacionales del país </t>
  </si>
  <si>
    <t xml:space="preserve">Porcentaje de aeródromos internacionales con pistas por instrumentos en los que se ha implementado un procedimiento APV con Baro VNAV 
</t>
  </si>
  <si>
    <t xml:space="preserve">Cantidad de aeropuertos internacionales en los que se ha implementado un procedimiento of APV con Baro VNAV aprobado VS total aeropuertos internacionales
</t>
  </si>
  <si>
    <t>Fecha cumplimiento Diciembre 2018 - Trimestral en por entaje</t>
  </si>
  <si>
    <t>Planificación para el diseño de las cartas aeronáuticas para los aeropuertos internacionales</t>
  </si>
  <si>
    <t>Consecución de recurso humano para apoyar el proceso de diseño</t>
  </si>
  <si>
    <t>Diseño y comprobación de las cartas aeronáuticas</t>
  </si>
  <si>
    <t xml:space="preserve">Publicación e implementación </t>
  </si>
  <si>
    <t>Trimestral</t>
  </si>
  <si>
    <t>Mayor flexibilidad y eficiencia en los perfiles de descenso</t>
  </si>
  <si>
    <t xml:space="preserve">Elaborar procedimientos SID-PBN para los aeropuertos internacionales del país.
2. Implementar espacio TMA de aeropuerto internacional con concepto CCO
</t>
  </si>
  <si>
    <t xml:space="preserve">. Porcentaje de aeródromos internacionales en los que se ha implementado SID PBN 
2. Porcentaje de aeródromos internacionales en los que se ha implementado CCO
</t>
  </si>
  <si>
    <t>Cantidad de aeropuertos internacionales en los que se ha implementado SID PBN 2. Cantidad de aeropuertos internacionales en los que se ha implementado CDO</t>
  </si>
  <si>
    <t xml:space="preserve">Fecha cumplimiento Diciembre 2018 - trimestral en porcentaje </t>
  </si>
  <si>
    <t>Planificación para el diseño de las cartas aeronáuticas para los aeropuertos internacionales y diseño CCO</t>
  </si>
  <si>
    <t xml:space="preserve">Consecución de recurso humano para apoyar el proceso de diseño
</t>
  </si>
  <si>
    <t xml:space="preserve">trimestral </t>
  </si>
  <si>
    <t>trimestral</t>
  </si>
  <si>
    <t>Mayor flexibilidad y eficiencia en los perfiles de ascenso</t>
  </si>
  <si>
    <t xml:space="preserve">Elaborar procedimientos STAR-PBN para los aeropuertos internacionales del país.
2. Implementar espacio TMA de aeropuerto internacional con concepto CDO
</t>
  </si>
  <si>
    <t xml:space="preserve">Porcentaje de aeródromos internacionales en los que se ha implementado STAR PBN 
2. Porcentaje de aeródromos internacionales en los que se ha implementado CDO
</t>
  </si>
  <si>
    <t>Cantidad de aeropuertos internacionales en los que se ha implementado STAR PBN 2. Cantidad de aeropuertos internacionales en los que se ha implementado CDO</t>
  </si>
  <si>
    <t xml:space="preserve">
Consecución de recurso humano para apoyar el proceso de diseño
</t>
  </si>
  <si>
    <t>Mejores operaciones mediante trayectorias en ruta mejoradas</t>
  </si>
  <si>
    <t>Reducción de demoras en tiempo de vuelos civiles 2. Reducción en toneladas de CO2</t>
  </si>
  <si>
    <t xml:space="preserve">EFICIENCIA DE OPERACIÓN EN TIEMPOS
</t>
  </si>
  <si>
    <t>((CEET/AEET)-1)*100</t>
  </si>
  <si>
    <t xml:space="preserve">Fecha cumplimiento cada trimestre 2018  - trimestral en porcentaje </t>
  </si>
  <si>
    <t xml:space="preserve">Recolección y análisis de datos extraídos del Sistema Metron Harmony, para realizar la correspondiente medición, teniendo en cuenta los factores operacionales que se presenten en la operación.
 </t>
  </si>
  <si>
    <t>POSICION OCS – PDC SCORE</t>
  </si>
  <si>
    <t xml:space="preserve">Cumplimiento de la implementación Posición OCS – FMU Colombia
</t>
  </si>
  <si>
    <t>Cumplimiento OCS = (Actividades Ejecutadas/Actividades programadas) X 100</t>
  </si>
  <si>
    <t>Fecha cumplimiento abril 2018 - Anual - %</t>
  </si>
  <si>
    <t xml:space="preserve">Formalizar e integrar procesos y procedimientos OCS
</t>
  </si>
  <si>
    <t xml:space="preserve">Optimización de procesos de intercambio de información por mensajería SSIM por parte de la aviación  no regular
</t>
  </si>
  <si>
    <t>IMPLEMENTACION CONCEPTO OPERACIONAL ATFCM PARA COLOMBIA</t>
  </si>
  <si>
    <t xml:space="preserve">: IMPLEMENTACION CONCEPTO OPERACIONAL ATFCM PARA COLOMBIA
</t>
  </si>
  <si>
    <t>Implementacion ATFCM = (Actividades Ejecutadas/Actividades programadas) X 100</t>
  </si>
  <si>
    <t>Fecha cumplimientodiciembre  2018 - Anual - %</t>
  </si>
  <si>
    <t xml:space="preserve">Identificación de las necesidades CDM </t>
  </si>
  <si>
    <t xml:space="preserve">Análisis de la CDM
</t>
  </si>
  <si>
    <t>Especificación y verificación de la CDM</t>
  </si>
  <si>
    <t>Estudio de Rendimiento de la CDM</t>
  </si>
  <si>
    <t>Validación e implantación de la CDM</t>
  </si>
  <si>
    <t>Puesta en marcha, mantenimiento y mejora continua de la CDM</t>
  </si>
  <si>
    <t>Fecha cumplimiento diciembre 2018 - trimestral- %</t>
  </si>
  <si>
    <t xml:space="preserve">Adquisición y puesta en funcionamiento de una herramienta tecnológica para el desarrollo de este proceso.
</t>
  </si>
  <si>
    <t xml:space="preserve">Capacitación en el manejo de la herramienta
</t>
  </si>
  <si>
    <t>Nombramiento de personal AIM</t>
  </si>
  <si>
    <t xml:space="preserve">Fecha cumplimiento diciembre 2018 - trimestral- </t>
  </si>
  <si>
    <t>Adquisición y puesta en funcionamiento de una herramienta tecnológica para el desarrollo de este proceso.</t>
  </si>
  <si>
    <t>Capacitación.</t>
  </si>
  <si>
    <t>La transición de AIS al AIM</t>
  </si>
  <si>
    <t>La migración al SWIM</t>
  </si>
  <si>
    <t>Implementación AIDC y A-SMGCS</t>
  </si>
  <si>
    <t>Optimizar los procedimientos de aproximación, guía vertical incluida</t>
  </si>
  <si>
    <t>EFICIENCIA DE OPERACIÓN EN TIEMPOS</t>
  </si>
  <si>
    <t>DIRECCIÓN SERVICIOS A LA NAVEGACIÓN AÉREA</t>
  </si>
  <si>
    <t xml:space="preserve">Elaborar, legalizar e implementar documento guía  para uso flexible del espacio aéreo en Colombia.
2. Fortalecer las cartas de acuerdo y los procedimientos para el encaminamiento flexible. 
</t>
  </si>
  <si>
    <t xml:space="preserve">1. Porcentaje de tiempo en espacios aéreos segregados disponible para operaciones civiles
2. Porcentaje de rutas PBN implementadas
</t>
  </si>
  <si>
    <t>Diciembre 2018 - trimestral %</t>
  </si>
  <si>
    <t xml:space="preserve">Planificación para el diseño del documento  y diseño de rutas 
</t>
  </si>
  <si>
    <t xml:space="preserve">Consecución de recurso humano para apoyar el proceso de estructura y coordinación 
</t>
  </si>
  <si>
    <t xml:space="preserve">Recolección y análisis de la información </t>
  </si>
  <si>
    <t xml:space="preserve">Informes finales 
</t>
  </si>
  <si>
    <t>Cumplir con la meta DNP de intervenir 48 aeropuertos durante el cuatrienio 2015 – 2018, para lo cual se proyectaron:</t>
  </si>
  <si>
    <t>Intervenir 17 aeropuertos con obras de construcción, durante el cuatrienio 2015 – 2018</t>
  </si>
  <si>
    <t>Intervenir 31 aeropuertos con obras de mantenimiento, durante el cuatrienio 2015 – 2018</t>
  </si>
  <si>
    <t>Intervenir 34 aeropuertos territoriales, durante el cuatrienio 2015 - 2018</t>
  </si>
  <si>
    <t>DIRECCIÓN DE INFRAESTRUCTURA AEROPORTUARIA</t>
  </si>
  <si>
    <t>DIRECCION SERVICIOS AEROPORTUARIOS</t>
  </si>
  <si>
    <t>Habilitación SEMA</t>
  </si>
  <si>
    <t xml:space="preserve">Servicios médicos existentes/Servicios médicos habilitados X 100
</t>
  </si>
  <si>
    <t>31 DICIEMBRE 2018 - TRIMESTRAL</t>
  </si>
  <si>
    <t>Cumplimiento de los (6) estándares restantes</t>
  </si>
  <si>
    <t>Aeropuertos con prestación de servicios  AVSEC / FAL</t>
  </si>
  <si>
    <t xml:space="preserve"> # de aeropuertos q cumplen con los servicios AVSEC / # de aeropuertos con servicios programados
</t>
  </si>
  <si>
    <t>DICIEMBRE 2018 TRIMESTRAL</t>
  </si>
  <si>
    <t xml:space="preserve">Verificación del cumplimiento de la prestación de servicio de vigilancia
</t>
  </si>
  <si>
    <t>Verificación del funcionamiento de los equipos que soportan los servicios aeroportuarios</t>
  </si>
  <si>
    <t xml:space="preserve">
 Implementación del centro control operacional para los aeropuertos  (Aeropuertos tipo 1 a cargo de la Aeronáutica Civil)
</t>
  </si>
  <si>
    <t>Aeropuertos con CCO implementado</t>
  </si>
  <si>
    <t>CCO implementados /CCO propuestos</t>
  </si>
  <si>
    <t>DICIEMBRE 2018 - TRIMESTRAL %</t>
  </si>
  <si>
    <t>Recopilar y revisar de la reglamentación nacional e internacional, para la implementación del Centro de Control Operacional</t>
  </si>
  <si>
    <t>Realizar visita para el diagnóstico y evaluación para su implementación</t>
  </si>
  <si>
    <t xml:space="preserve">Revisar, formular y actualizar los documentos operacionales </t>
  </si>
  <si>
    <t>nar los recursos económicos, de infraestructura, de capacitación y humanos para la implementación</t>
  </si>
  <si>
    <t xml:space="preserve">Poner en operación del centro de control operacional </t>
  </si>
  <si>
    <t xml:space="preserve">Hacer seguimiento y evaluación del centro de control operacional </t>
  </si>
  <si>
    <t># Aeropuerto certificados / # de aeropuertos propuestos a certificar</t>
  </si>
  <si>
    <r>
      <t xml:space="preserve">2 Aeropuertos </t>
    </r>
    <r>
      <rPr>
        <sz val="10"/>
        <color indexed="10"/>
        <rFont val="Arial"/>
        <family val="2"/>
      </rPr>
      <t>Certificados</t>
    </r>
  </si>
  <si>
    <t xml:space="preserve">Recopilar información y evaluar el estado de avance de la certificación.
</t>
  </si>
  <si>
    <t>Comprobar la infraestructura, instalaciones  y servicios aeroportuarios de los aeropuertos propuestos</t>
  </si>
  <si>
    <t>Solicitar a la Autoridad Aeronáutica inspección para certificación a los aeropuertos propuestos</t>
  </si>
  <si>
    <t>DIRECCION SERVICIOS AEROPORTUARIOSS</t>
  </si>
  <si>
    <t>Uno EDR</t>
  </si>
  <si>
    <r>
      <t xml:space="preserve"> </t>
    </r>
    <r>
      <rPr>
        <sz val="10"/>
        <color indexed="8"/>
        <rFont val="Arial Narrow"/>
        <family val="2"/>
      </rPr>
      <t>Total posiciones generadoras de elctromag. / posiciones generadoras de electromag. intervenidas X 100</t>
    </r>
  </si>
  <si>
    <t>DIRECCIÓN SERVICIOS AEROPORTUARIOS</t>
  </si>
  <si>
    <t>Identificar firmas o empresas especializadas en las mediciones de electro magnetismo generado por equipos aeroportuarios.</t>
  </si>
  <si>
    <t>Elegir y contratar la firma pre-seleccionada</t>
  </si>
  <si>
    <t xml:space="preserve">Identificar el impacto del ruido en la producción de insumos derivados de la ganadería,  mediante mediciones preliminares.
</t>
  </si>
  <si>
    <r>
      <t xml:space="preserve">Uno - </t>
    </r>
    <r>
      <rPr>
        <sz val="14"/>
        <color indexed="8"/>
        <rFont val="Arial Narrow"/>
        <family val="2"/>
      </rPr>
      <t>Funza</t>
    </r>
  </si>
  <si>
    <t xml:space="preserve">Aeropuerto Certificados
</t>
  </si>
  <si>
    <t>Indicador de resultado.</t>
  </si>
  <si>
    <t>Presentación de los resultados de los estudios preliminares.</t>
  </si>
  <si>
    <t>Mantener en óptimas condiciones las máquinas que permiten la prestación del servicio de salvamento y Extinción de Incendios en los aeropuertos administrados por la UAEAC, los concesionados y los aeropuertos a cargo de las gobernaciones y los municipios</t>
  </si>
  <si>
    <t xml:space="preserve">Máquinas en Servicio 
</t>
  </si>
  <si>
    <t>(# Máq. en servicio/# Máq. según la categoría del aeropuerto )*100</t>
  </si>
  <si>
    <t>TRIMESTRAL</t>
  </si>
  <si>
    <t>Brindando capacitación teórico practica para los operadores de máquinas extintoras como responsables del transporte de los socorristas y de los equipos para la atención de emergencias</t>
  </si>
  <si>
    <t>Brindando cursos de motores diésel convenio con el SENA</t>
  </si>
  <si>
    <t>Elaborando el cronograma para mantenimiento de las máquinas de gran capacidad y menor capacidad y los diversos equipos del servicio, en la totalidad de los aeropuertos a cargo de la UAEAC</t>
  </si>
  <si>
    <t xml:space="preserve">Plan de contingencia, situando maquinas en las cabeceras regionales o aeropuertos de difícil acceso
</t>
  </si>
  <si>
    <r>
      <t>Mantener estándares máximos operativos (Tiempos Normativa) para el cumplimiento misional de la UAEAC y el objetivo principal del servicio de salvamento y extinción de incendios</t>
    </r>
    <r>
      <rPr>
        <sz val="14"/>
        <color indexed="59"/>
        <rFont val="Calibri"/>
        <family val="2"/>
      </rPr>
      <t>.</t>
    </r>
  </si>
  <si>
    <t>2.29 min (138 seg)</t>
  </si>
  <si>
    <t>Oportunidad en los tiempos de respuesta</t>
  </si>
  <si>
    <t>Sumatoria del tiempo de las pruebas realizadas trimestral/# de pruebas realizadas trimestral</t>
  </si>
  <si>
    <t>TRIMESTRAL  MINUTOS / SEGUNDOS</t>
  </si>
  <si>
    <t>Continuar con el plan  de renovación de máquinas de respuesta a emergencias que cumplan con la norma NFPA 0 a 50 millas en 25 segundos</t>
  </si>
  <si>
    <t>Evitar que la Oportunidad en los tiempos de respuesta, excedan los tiempos máximos permitidos establecidos en la Norma RAC 14.6</t>
  </si>
  <si>
    <t>Capacitar de forma teórico – práctica en el conocimiento del aeródromo y la operación de las máquinas de respuesta a emergencias en condiciones normales y adversas</t>
  </si>
  <si>
    <t xml:space="preserve">Adelantar los procesos sancionatorios  
</t>
  </si>
  <si>
    <t xml:space="preserve"> 90 días</t>
  </si>
  <si>
    <r>
      <rPr>
        <sz val="10"/>
        <color indexed="10"/>
        <rFont val="Arial"/>
        <family val="2"/>
      </rPr>
      <t>Cumplimiento al PAA(No. de procesos sancionatorios / No. De solicitudes radicadas)</t>
    </r>
    <r>
      <rPr>
        <sz val="10"/>
        <rFont val="Arial"/>
        <family val="2"/>
      </rPr>
      <t xml:space="preserve">
</t>
    </r>
  </si>
  <si>
    <t xml:space="preserve">No. de días promedio de los procesos iniciados desde la remisión a la Dirección Administrativa  - Grupo Procesos Contractuales hasta su informe final. </t>
  </si>
  <si>
    <t>DICIEMBRE 2018 - TRIMESTRAL</t>
  </si>
  <si>
    <t>Revisar las solicitudes radicadas.</t>
  </si>
  <si>
    <t xml:space="preserve">Citación al contratista </t>
  </si>
  <si>
    <t>Informe Trimestral</t>
  </si>
  <si>
    <t>Gestionar los procesos de contratación en sus etapas Precontractuales y Contractuales y hacer seguimiento e informar sobre el avance de los resultados al Plan Anual de Adquisiciones</t>
  </si>
  <si>
    <r>
      <t>:</t>
    </r>
    <r>
      <rPr>
        <b/>
        <sz val="14"/>
        <color indexed="8"/>
        <rFont val="Calibri"/>
        <family val="2"/>
      </rPr>
      <t xml:space="preserve"> </t>
    </r>
    <r>
      <rPr>
        <sz val="14"/>
        <color indexed="8"/>
        <rFont val="Calibri"/>
        <family val="2"/>
      </rPr>
      <t>90 días</t>
    </r>
  </si>
  <si>
    <t xml:space="preserve">No. de procesos de contratación recibidos en la Dirección Administrativa  y publicados en el SECOP  / No. de procesos registrados en el Plan Anual de Adquisiciones).
</t>
  </si>
  <si>
    <t xml:space="preserve">No. de procesos de contratación recibidos en la Dirección Administrativa  y publicados en el SECOP  / No. de procesos registrados en el Plan Anual </t>
  </si>
  <si>
    <t>Revisar que los procesos recibidos en la Dirección Administrativa se encuentren publicados en el Plan Anual Adquisiciones.</t>
  </si>
  <si>
    <t xml:space="preserve">Publicar en la página del SECOP los procesos Precontractuales y Contractuales </t>
  </si>
  <si>
    <t>DICIEMBRE 2018 - TRIMESTRA</t>
  </si>
  <si>
    <t xml:space="preserve"> Adelantar los procesos sancionatorios.</t>
  </si>
  <si>
    <t xml:space="preserve"> Dar cumplimiento a lo establecido por Colombia Compra Eficiente en cuanto al Plan Anual de  Adquisiciones.</t>
  </si>
  <si>
    <t xml:space="preserve"> Gestionar los procesos de contratación en sus etapas Precontractuales y Contractuales.</t>
  </si>
  <si>
    <t xml:space="preserve"> Fortalecer la gestión y eficiencia Institucional.</t>
  </si>
  <si>
    <t>DIRECCIÓN ADMINISTRATIVA</t>
  </si>
  <si>
    <t xml:space="preserve">Documentar y estandarizar los procedimientos institucionales con impacto economico </t>
  </si>
  <si>
    <t xml:space="preserve">Manual de políticas contables aprobado por la Alta Dirección 
</t>
  </si>
  <si>
    <t>cada una de las 5 fases procedimentales / 5</t>
  </si>
  <si>
    <t>Abril 2018 - Mensual %</t>
  </si>
  <si>
    <t>Mesas de trabajo con las áreas responsables de la administración de los procedimientos con impacto económico financiero</t>
  </si>
  <si>
    <t xml:space="preserve">Documento Borrador del Manual como resultado de las mesas de trabajo </t>
  </si>
  <si>
    <t>Documento Final Revisado del manual de políticas contables</t>
  </si>
  <si>
    <t>Aprobación del manual de políticas contables por la alta dirección</t>
  </si>
  <si>
    <t>Cumplir con las directrices trazadas por el gobierno nacional en Materia de Informacion contable publica  que pueda ser facilmente interpretable por organismos internacionales</t>
  </si>
  <si>
    <t xml:space="preserve">Validación Trimestral de la Contaduría General de la Nación
</t>
  </si>
  <si>
    <t>Validación trimestral de la Contaduría General de la Nación</t>
  </si>
  <si>
    <t>DICIEMBRE 2018 - TRIMESTRAL % AVANCE</t>
  </si>
  <si>
    <t>Apropiación de los recursos suficientes y contratación de la consultoría de apoyo a la implementación de las normas internacionales NICSP</t>
  </si>
  <si>
    <t xml:space="preserve">Adecuación de los módulos auxiliares (complementarios)  de los sistemas de información para su interoperabilidad con SIIF Nación </t>
  </si>
  <si>
    <t>Balance inicial de apertura 2018</t>
  </si>
  <si>
    <t>Balance  trimestral a la  contaduría  General  de  la  Nacion</t>
  </si>
  <si>
    <t>CUMPLIMIENTO</t>
  </si>
  <si>
    <t>INMUEBLES</t>
  </si>
  <si>
    <t>DIRECCION FINANCIERA</t>
  </si>
  <si>
    <t>DIRECCIÓN SERVICIOS AEROPORTUARIOS  - DSSA</t>
  </si>
  <si>
    <t>DIRECCION DE INFRAESTRUCTURA AEROPORTUARIA</t>
  </si>
  <si>
    <t>Objetivo 1</t>
  </si>
  <si>
    <t>Valores comunes para las Entidades del Sector Transporte en Colombia</t>
  </si>
  <si>
    <t>Objetivo 2</t>
  </si>
  <si>
    <t xml:space="preserve">objetivo 1 </t>
  </si>
  <si>
    <t>objetivo 2</t>
  </si>
  <si>
    <t>objetivo 3</t>
  </si>
  <si>
    <t>Objetivo 3</t>
  </si>
  <si>
    <t>objetivo 4</t>
  </si>
  <si>
    <t>Objetivo 4</t>
  </si>
  <si>
    <t>objetivo 5</t>
  </si>
  <si>
    <t>Objetivo 5</t>
  </si>
  <si>
    <t>objetivo 6</t>
  </si>
  <si>
    <t>Objetivo 6</t>
  </si>
  <si>
    <t>CEA</t>
  </si>
  <si>
    <t>OBJETIVOS E INDICADORES ESTRATÉGICOS INSTITUCIONALES</t>
  </si>
  <si>
    <t>OBJETIVOS</t>
  </si>
  <si>
    <t>INDICADOR</t>
  </si>
  <si>
    <t>% AVANCE III TRIMESTRE</t>
  </si>
  <si>
    <t>OBSERVACIONES</t>
  </si>
  <si>
    <t>NIVELES DE SEGURIDAD TRANSPORTE AÉREO</t>
  </si>
  <si>
    <t>1. Empresas con SMS Fase IV</t>
  </si>
  <si>
    <t>2. Índice de accidentalidad</t>
  </si>
  <si>
    <t>CAPACIDAD DE SERVICIOS DE NAVEGACIÓN AÉREA</t>
  </si>
  <si>
    <t>3. Eficiencia de operación</t>
  </si>
  <si>
    <t>N/A</t>
  </si>
  <si>
    <t>4. Cumplimiento de las metas del PNA</t>
  </si>
  <si>
    <t>SEGURIDAD DE LA AVIACIÓN CIVIL</t>
  </si>
  <si>
    <t>5. Indice de reducción de actos de interferencia ilícita</t>
  </si>
  <si>
    <t>6. Reducción de tiempos de facilitación</t>
  </si>
  <si>
    <t>MINIMIZAR IMPACTO TRANSPORTE AÉREO SOBRE EL MEDIO AMBIENTE</t>
  </si>
  <si>
    <t>7.Reducción de emisiones de CO2</t>
  </si>
  <si>
    <t>Tal y como se tenía proyectado, se realizó la construcción de la línea estimada de emisiones de CO2 con respecto a la llegada de las aeronaves que aterrizaron en la ciudad de Bogotá durante el año 2015, aún se está avanzando de manera significativa en la construcción y recopílación de la información de los años 2014 y 2015. Se espera que al finalizar el año 2017 se tenga la información completa correspondiente al año 2016.</t>
  </si>
  <si>
    <t>8. Estado de cumplimiento ambiental</t>
  </si>
  <si>
    <t>Según lo reportado por parte del área encargada del diligenciamiento de este indicador, se informa que el contrato 17000986 H3 se encuentra con un porcentaje de avance del 50%, además se notifica que a la fecha se ha presentado la totalidad de los informes de las primeras visitas realizadas de interventoría ambiental a los aeródromos.</t>
  </si>
  <si>
    <t>FOMENTAR LA COBERTURA Y CRECIMIENTO DE LA AVIACIÓN CIVIL</t>
  </si>
  <si>
    <t>9. Crecimiento de la aviación civil</t>
  </si>
  <si>
    <t>Pasajeros movilizados
Toneladas movilizadas</t>
  </si>
  <si>
    <t xml:space="preserve"> 24,16 millones de pasajeros.
547 millones de toneladas</t>
  </si>
  <si>
    <t>La tendencia creciente que existía a mediados del año 2014 e inicios del 2015, hizo pensar que se podía continuar aumentando el número de pasajeros transportados, sin embargo, muchos factores han influido y es así, como no se ha podido alcanzar la meta de pasajeros movilizados para los años 2015 y 2016. En el año 2016 se solicitó el cambio de la meta, la cual no fue aceptada. 
La información mensual se alimenta en el aplicativo SINERGIA.</t>
  </si>
  <si>
    <t>10. Cobertura de la aviación civil</t>
  </si>
  <si>
    <t>24/31 = 77,4%
24/25 = 96%</t>
  </si>
  <si>
    <t xml:space="preserve">Este indicador nos indica la gestión de la Oficina de Transporte Aéreo frente a las solicitudes realizadas por las empresas aéreas interesadas en la aprobación de nuevas rutas.
</t>
  </si>
  <si>
    <t xml:space="preserve">77,4%
</t>
  </si>
  <si>
    <t>11. Cumplimiento del Plan de Trabajo</t>
  </si>
  <si>
    <t>Cumplimiento del plan de trabajo de armonización de reglamentación: Se dio cumplimiento al porcentaje (65%) establecido como indicador para el año 2016 (se alcanzó el 65,6%) que corresponde a 21 normas LAR armonizadas de 32 por armonizar.</t>
  </si>
  <si>
    <t>FORTALECER LA GESTIÓN Y EFICIENCIA INSTITUCIONAL</t>
  </si>
  <si>
    <t>12.Disminución de tiempos de trámites</t>
  </si>
  <si>
    <t>20 trámites OTA ---&gt; Trámites registrados en SUIT</t>
  </si>
  <si>
    <t>No obstante que el indicador establecido en el PEI refiere a la medición de 20 trámites, las mediciones se han realizado en 18 Trámites,  esto debido a que 2 de ellos se trasladaron a la Secretaria de Seguridad Aérea. Asimismo la meta se mantiene durante el cuatrenio en 15% de disminución en el tiempo de respuesta.</t>
  </si>
  <si>
    <t>13. Ejecución real</t>
  </si>
  <si>
    <t>Durante el tercer trimestre del año en curso, se identificaron 36 proyectos en ejecución, los cuales conforman el universo de estudio para el diligenciamiento de este indicador. En el análisis general ponderado se obtuvieron los siguientes porcentajes: avance ejecución física del 75,23% y avance ejecución financiera del 59,64%, lo cual indica que se ha pagado menos de lo reportado.</t>
  </si>
  <si>
    <t>14. Cumplimiento del Ingreso Proyectado Anual</t>
  </si>
  <si>
    <t>De acuerdo a lo reportado por parte del Grupo de Gestión Financiera, se informa que el valor total del recaudo al tercer trimestre del año en curso fue de $ 989.202.000.oo y el valor total de ingreso fue de $ 1.281.270.000.oo, por tal razón el porcentaje de cumplimiento fue del 77,2%</t>
  </si>
  <si>
    <t>15. Cumplimiento Planeación Estrategica de Tecnología de la Información</t>
  </si>
  <si>
    <t>Según la ponderación realizada por parte de la Dirección Informática de todas las variables que conforman este indicador, se informa que el porcentaje de avance de este indicador corresponde al 81,22% en el cumplimiento de la Planeación Estratégica de Tecnología de la Información.</t>
  </si>
  <si>
    <t>16. Cumplimiento del programa de Gestión de Talento Humano</t>
  </si>
  <si>
    <t>El porcentaje de cumplimiento reportado corresponde a la ponderación y evaluación de las actividades competentes de Gestión de Talento Humano (Vacantes, capacitación, incentivos, evaluación del desmpeño, salud ocupacional y bienestar social).</t>
  </si>
  <si>
    <t xml:space="preserve">17. Satisfacción de los clientes </t>
  </si>
  <si>
    <t>De acuerdo a la encuesta realizada por parte del Grupo de Atención al Ciudadano, únicamente el 39% del universo encuestado considera que el servicio prestado por la entidad es bueno o excelente, por tal razón se deben establecer estrategias de mejora, a fin de optimizar los servicios prestados.</t>
  </si>
  <si>
    <t xml:space="preserve">18. Reducción de tiempos </t>
  </si>
  <si>
    <t>Por lo reportado se infiere que el Grupo de Atención al Ciudadano no está dando respuesta a las QR dentro de los términos establecidos por ley.</t>
  </si>
  <si>
    <t>19. Cumplimiento Programa de Gestión Documental</t>
  </si>
  <si>
    <t>El Programa de Gestión Documental tiene proyectado un avance equivalente al 25% por trimestre,  razón por la cual el avance reportado se encuentra acorde a las metas establecidas.</t>
  </si>
  <si>
    <t>20. Rediseño institucional</t>
  </si>
  <si>
    <t>Las fases de diagnóstico organizacional y propuesta se realizaron durante el año 2015 y parte de 2016. Aún se tiene por definir la acptación o rechazo de la propuesta por parte de la entidad.</t>
  </si>
  <si>
    <t>21. Certificación IES para el CEA</t>
  </si>
  <si>
    <t>Se encuentra en una fase de transición de Institución de Educación Superior (IES) a Centro de Instrucción Aeronáutica (CIA)</t>
  </si>
  <si>
    <r>
      <t xml:space="preserve">Actualmente según lo reportado por parte de la </t>
    </r>
    <r>
      <rPr>
        <sz val="8"/>
        <color indexed="10"/>
        <rFont val="Calibri"/>
        <family val="2"/>
      </rPr>
      <t>Secretaría de Seguridad Operaciona</t>
    </r>
    <r>
      <rPr>
        <sz val="8"/>
        <color indexed="8"/>
        <rFont val="Calibri"/>
        <family val="2"/>
      </rPr>
      <t>l, fueron identificadas 15 empresas que han implementado el Sistema de  Gestión de Seguridad (SMS) en fase IV. El porcentaje de avance reportado, fue evaluado con respecto a la meta establecida de 22 empresas con SMS implementado en fase IV.</t>
    </r>
  </si>
  <si>
    <r>
      <rPr>
        <sz val="8"/>
        <color indexed="10"/>
        <rFont val="Calibri"/>
        <family val="2"/>
      </rPr>
      <t>La Secretaría de Seguridad Operacional</t>
    </r>
    <r>
      <rPr>
        <sz val="8"/>
        <color indexed="8"/>
        <rFont val="Calibri"/>
        <family val="2"/>
      </rPr>
      <t xml:space="preserve"> reporta 11 accidentes en lo que va transcurrido del año 2017, cifra que según lo establecido en ete indicador, debe ser comparada con la cantidad de despegues que se registran a la fecha (553.159 despegues). </t>
    </r>
  </si>
  <si>
    <r>
      <t>Según lo manifestado por parte de la</t>
    </r>
    <r>
      <rPr>
        <sz val="8"/>
        <color indexed="10"/>
        <rFont val="Calibri"/>
        <family val="2"/>
      </rPr>
      <t xml:space="preserve"> Dirección de Servicios a la Navegación Aérea</t>
    </r>
    <r>
      <rPr>
        <sz val="8"/>
        <color indexed="8"/>
        <rFont val="Calibri"/>
        <family val="2"/>
      </rPr>
      <t xml:space="preserve">,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r>
  </si>
  <si>
    <r>
      <t>Se tiene un avance del 70% según lo evidenciado en las mesas de trabajo realizadas con todas las direcciones adscritas a la</t>
    </r>
    <r>
      <rPr>
        <sz val="8"/>
        <color indexed="10"/>
        <rFont val="Calibri"/>
        <family val="2"/>
      </rPr>
      <t xml:space="preserve"> Secretaría de Sistemas Operacionales, </t>
    </r>
    <r>
      <rPr>
        <sz val="8"/>
        <color indexed="8"/>
        <rFont val="Calibri"/>
        <family val="2"/>
      </rPr>
      <t>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r>
  </si>
  <si>
    <r>
      <t xml:space="preserve">De acuerdo al reporte suministrado por parte de la </t>
    </r>
    <r>
      <rPr>
        <sz val="8"/>
        <color indexed="10"/>
        <rFont val="Calibri"/>
        <family val="2"/>
      </rPr>
      <t>Dirección de Seguridad y Supervisión Aeroportuaria</t>
    </r>
    <r>
      <rPr>
        <sz val="8"/>
        <color indexed="8"/>
        <rFont val="Calibri"/>
        <family val="2"/>
      </rPr>
      <t xml:space="preserve">, durante el tercer trimestre no se presentaron casos de interferencia ilícita, razón por la cual el indicador aún permanece en 0%. </t>
    </r>
  </si>
  <si>
    <r>
      <t xml:space="preserve">Durante el tercer trimestre del año en curso se está realizando el empalme entre el </t>
    </r>
    <r>
      <rPr>
        <sz val="8"/>
        <color indexed="17"/>
        <rFont val="Calibri"/>
        <family val="2"/>
      </rPr>
      <t>Grupo de Planificación Aeroportuaria y la Secretaría de Seguridad</t>
    </r>
    <r>
      <rPr>
        <sz val="8"/>
        <color indexed="8"/>
        <rFont val="Calibri"/>
        <family val="2"/>
      </rPr>
      <t>,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r>
  </si>
  <si>
    <t>PEI</t>
  </si>
  <si>
    <t>SINERGIA</t>
  </si>
  <si>
    <t>PLAN</t>
  </si>
  <si>
    <t>Título: Plan de Navegación Aérea para Colombia</t>
  </si>
  <si>
    <t>Principio de Procedencia: 
1010.337.1</t>
  </si>
  <si>
    <t xml:space="preserve">ANEXO 1 - VOLUMEN II. INSTALACIONES Y SERVICIOS  </t>
  </si>
  <si>
    <t>PLAN DE INVERSIONES (EN MILLONES DE PESOS- PRECIOS CONSTANTES)</t>
  </si>
  <si>
    <t xml:space="preserve">Fecha </t>
  </si>
  <si>
    <t>PROGRAMA</t>
  </si>
  <si>
    <t>LUGAR</t>
  </si>
  <si>
    <t>2015- 2018</t>
  </si>
  <si>
    <t>2019- 2022</t>
  </si>
  <si>
    <t>2023-2026</t>
  </si>
  <si>
    <t>2027-2030</t>
  </si>
  <si>
    <t>cifra contraol</t>
  </si>
  <si>
    <t>TOTALES</t>
  </si>
  <si>
    <t>INFRAESTRUCTURA PARA LOS SERVICIOS A LA NAVEGACIÓN AÉREA</t>
  </si>
  <si>
    <t>ADQUISICION EQUIPOS Y SISTEMAS AERONAUTICOS AEROPUERTO EL DORADO</t>
  </si>
  <si>
    <t>COM</t>
  </si>
  <si>
    <t>ADQUISICIÓN, INSTALACIÓN Y PUESTA EN FUNCIONAMIENTO SISTEMAS DE COMUNICACIONES (SALA TÉCNICA ESPECIALIZADA NOC) CON CENTRO DE MONITOREO Y GESTIÓN, PARA EL CGAC  15000005 OS</t>
  </si>
  <si>
    <t>ADQUISICIÓN, INSTALACIÓN, AUTOMATIZACIÓN Y PUESTA EN FUNCIONAMIENTO DE SISTEMAS DE CONTROL Y MONITOREO DE LA ILUMINACIÓN CATEGORÍA 3 PARA EL AEROPUERTO EL DORADO DE BOGOTÁ.</t>
  </si>
  <si>
    <t>​CONTRATAR LA ADQUISICION, INSTALACION Y PUESTA EN FUNCIONAMIENTO DEL CENTRO SITUACIONAL DE GESTION DE CRISIS PARA LA SEGURIDAD DE LA AVIACION CIVIL (CONSISTENTE EN CIRCUITOS CERRADOS DE TELEVISION PARA EL MONITOREO Y CONTROL DESDE BOGOTA A LOS AEROPUERTOS: EL DORADO DE BOGOTÁ, SIMÓN BOLÍVAR DE SANTA MARTA, ALFONSO BONILLA ARAGÓN DE CALI, JOSÉ MARÍA CÓRDOVA DE RIONEGRO, RAFAEL NÚÑEZ DE CARTAGENA, PALONEGRO DE BUCARAMANGA, CAMILO DAZA DE CÚCUTA, ERNESTO CORTISSOZ DE BARRANQUILLA Y BENITO SALAS DE NEIVA CENTRO SITUACIONAL DE GESTIÓN DE CRISIS PARA LA SEGURIDAD DE LA AVIACIÓN CIVIL Y SISTEMAS DE CCTV PARA EL AEROPUERTO EL DORADO DE BOGOTÁ) MEDIANTE LA MODALIDAD DE LLAVE EN MANO.</t>
  </si>
  <si>
    <t>DIRECCION DE SEGURIDAD Y SUPERVISION</t>
  </si>
  <si>
    <t>ADQUISICIÓN, INSTALACIÓN Y PUESTA EN FUNCIONAMIENTO DE UNA SALA TECNICA ESPECIALIZADA CON CENTRO DE MONITOREO Y GESTION PARA EL CGAC.</t>
  </si>
  <si>
    <t>ADQUISICION EQUIPOS Y REPUESTOS PARA SISTEMAS AEROPORTUARIOS NIVEL NACIONAL.</t>
  </si>
  <si>
    <t>ADQUISICION, INSTALACION , CALIBRACION, PRUEBA Y PUESTA EN SERVICIO DE EQUIPOS PARA LOS SISTEMAS AEROPORTUARIOS.</t>
  </si>
  <si>
    <t>ADQUISICION, INSTALACION, CALIBRACION, PRUEBA  Y PUESTA EN SERVICIO DE SISTEMAS DE ILUMINACION.</t>
  </si>
  <si>
    <t>BAHÍA SOLANO</t>
  </si>
  <si>
    <t>BOGOTA CAT III pista 13L - 31R</t>
  </si>
  <si>
    <t>COVEÑAS</t>
  </si>
  <si>
    <t>OCAÑA</t>
  </si>
  <si>
    <t>PITALITO</t>
  </si>
  <si>
    <t>PUERTO LEGUIZAMO</t>
  </si>
  <si>
    <t>SAN ANDRES</t>
  </si>
  <si>
    <t>IBAGUE</t>
  </si>
  <si>
    <t xml:space="preserve"> SARAVENA</t>
  </si>
  <si>
    <t>LETICIA</t>
  </si>
  <si>
    <t>ADQUISICION, INSTALACION , CALIBRACION, PRUEBA Y PUESTA EN SERVICIO DE LUCES DE APROXIMACION (ALS, MALS, ODALS, ENTRE OTROS)</t>
  </si>
  <si>
    <t>CUCUTA</t>
  </si>
  <si>
    <t>RIONEGRO</t>
  </si>
  <si>
    <t>YOPAL</t>
  </si>
  <si>
    <t>ARMENIA</t>
  </si>
  <si>
    <t>BUCARAMANGA</t>
  </si>
  <si>
    <t>PASTO</t>
  </si>
  <si>
    <t>SANTA MARTA</t>
  </si>
  <si>
    <t>ADQUISICION, INSTALACION , CALIBRACION, PRUEBA Y PUESTA EN SERVICIO DE  EJE DE PISTA</t>
  </si>
  <si>
    <t>ADQUISICION, INSTALACION , CALIBRACION, PRUEBA Y PUESTA EN SERVICIO DE  PAPI</t>
  </si>
  <si>
    <t>APARTADO</t>
  </si>
  <si>
    <t>ARAUCA</t>
  </si>
  <si>
    <t>BARRANCABERMEJA</t>
  </si>
  <si>
    <t>BARRANQUILLA</t>
  </si>
  <si>
    <t>BOGOTA</t>
  </si>
  <si>
    <t>BUENAVENTURA</t>
  </si>
  <si>
    <t xml:space="preserve">CALI </t>
  </si>
  <si>
    <t>CARTAGENA</t>
  </si>
  <si>
    <t>CARTAGO</t>
  </si>
  <si>
    <t>COROZAL</t>
  </si>
  <si>
    <t>FLORENCIA</t>
  </si>
  <si>
    <t>GIRARDOT</t>
  </si>
  <si>
    <t>GUAPI</t>
  </si>
  <si>
    <t>GUAYMARAL</t>
  </si>
  <si>
    <t>IPIALES</t>
  </si>
  <si>
    <t>MANIZALES</t>
  </si>
  <si>
    <t>MITU</t>
  </si>
  <si>
    <t xml:space="preserve">MONTERIA </t>
  </si>
  <si>
    <t>NEIVA</t>
  </si>
  <si>
    <t>PEREIRA</t>
  </si>
  <si>
    <t>POPAYAN</t>
  </si>
  <si>
    <t>PUERTO ASIS</t>
  </si>
  <si>
    <t>PUERTO CARREÑO</t>
  </si>
  <si>
    <t>INIRIDA</t>
  </si>
  <si>
    <t>RIOHACHA</t>
  </si>
  <si>
    <t>SAN JOSE DEL GUAVIARE</t>
  </si>
  <si>
    <t>SAN VICENTE DEL CAGUAN</t>
  </si>
  <si>
    <t>TAME</t>
  </si>
  <si>
    <t>TOLU</t>
  </si>
  <si>
    <t>TUMACO</t>
  </si>
  <si>
    <t>VALLEDUPAR</t>
  </si>
  <si>
    <t>VILLA GARZON</t>
  </si>
  <si>
    <t>VILLAVICENCIO</t>
  </si>
  <si>
    <t>ADQUISICION, INSTALACION ,  PRUEBA Y PUESTA EN SERVICIO DE  SISTEMAS DE MONITOREO Y CONTROL DE AYUDAS VISUALES</t>
  </si>
  <si>
    <t>VILLAGARZON</t>
  </si>
  <si>
    <t>ADQUISICION DE EQUIPOS Y SISTEMAS DE ENERGIA SOLAR Y COMERCIAL A NIVEL NACIONAL.</t>
  </si>
  <si>
    <t>ADQUISICION, INSTALACION, CALIBRACION, PRUEBA  Y PUESTA EN FUNCIONAMIENTO SISTEMAS UPS, CARGADORES DE BATERIA, RECTIFICADORES Y/O REACONDICIONAMIENTO.</t>
  </si>
  <si>
    <t>ADQUISICION, INSTALACION, CALIBRACION, PRUEBA Y PUESTA EN FUNCIONAMIENTO DE GRUPOS ELECTROGENOS Y COMPLEMENTARIOS.</t>
  </si>
  <si>
    <t>BUVIS</t>
  </si>
  <si>
    <t>CEUTA</t>
  </si>
  <si>
    <t>CNA</t>
  </si>
  <si>
    <t>EL ROSAL VOR</t>
  </si>
  <si>
    <t>EL TABLAZO</t>
  </si>
  <si>
    <t>AEPTO GUAYMARAL</t>
  </si>
  <si>
    <t>AEPTO. PAIPA</t>
  </si>
  <si>
    <t>MANJUI</t>
  </si>
  <si>
    <t>NORMANDIA</t>
  </si>
  <si>
    <t>SOGAMOSO NDB</t>
  </si>
  <si>
    <t>ZIPAQUIRA</t>
  </si>
  <si>
    <t>AEPTO. MARIQUITA</t>
  </si>
  <si>
    <t>AMBALEMA</t>
  </si>
  <si>
    <t>MARIQUITA VOR</t>
  </si>
  <si>
    <t>AEPTO. IBAGUE</t>
  </si>
  <si>
    <t>PICALEÑA NDB</t>
  </si>
  <si>
    <t>APTO LA JAGUA-GARZON</t>
  </si>
  <si>
    <t>AEPTO. GIRARDOT-FLANDES</t>
  </si>
  <si>
    <t>ESPINAL VOR</t>
  </si>
  <si>
    <t>AEPTO NEIVA</t>
  </si>
  <si>
    <t>NEIVA VOR (EL TOTUMO)</t>
  </si>
  <si>
    <t>NEIVA VOR (SAN JORGE)</t>
  </si>
  <si>
    <t>AEPTO. PITALITO</t>
  </si>
  <si>
    <t>AEPTO. FLORENCIA</t>
  </si>
  <si>
    <t>SAN VICENTE DEL Caguan.</t>
  </si>
  <si>
    <t>AEPTO. PTO. ASIS</t>
  </si>
  <si>
    <t>AEPTO. LETICIA</t>
  </si>
  <si>
    <t xml:space="preserve"> LETICIA-RADAR</t>
  </si>
  <si>
    <t>ARARACUARA NDB</t>
  </si>
  <si>
    <t>LA PEDRERA</t>
  </si>
  <si>
    <t>AGUAZUQUE</t>
  </si>
  <si>
    <t>APTO CANANGUCHAL-VILLA GARZON</t>
  </si>
  <si>
    <t>AEPTO. RIONEGRO</t>
  </si>
  <si>
    <t>AEPTO. RIONEGRO-SUB AEROCIVIL</t>
  </si>
  <si>
    <t>AEPTO. RIONEGRO (MODULO 8)</t>
  </si>
  <si>
    <t>RIONEGRO LI-MARCADOR INT.</t>
  </si>
  <si>
    <t>AEPTO. OLAYA HERRERA</t>
  </si>
  <si>
    <t>SANTA ELENA</t>
  </si>
  <si>
    <t>CERRO GORDO-VOR</t>
  </si>
  <si>
    <t>CERRO VERDE</t>
  </si>
  <si>
    <t>MARINILLA-VOR</t>
  </si>
  <si>
    <t>LA CEJA MKR EXT</t>
  </si>
  <si>
    <t>AEPTO. MONTERIA</t>
  </si>
  <si>
    <t>MONTERIA VOR</t>
  </si>
  <si>
    <t xml:space="preserve">AEPTO. OTU </t>
  </si>
  <si>
    <t>OTU-VOR</t>
  </si>
  <si>
    <t>APARTADO-CAREPA</t>
  </si>
  <si>
    <t>AEPTO. BAHIA SOLANO</t>
  </si>
  <si>
    <t>AEPTO QUIBDO</t>
  </si>
  <si>
    <t>NUQUI</t>
  </si>
  <si>
    <t>AEPTO DE CONDOTO</t>
  </si>
  <si>
    <t>AEPTO. MANIZALES</t>
  </si>
  <si>
    <t>VILLA KEMPIS MANIZALES</t>
  </si>
  <si>
    <t>AEPTO. B/QUILLA</t>
  </si>
  <si>
    <t>AEPTO. B/QUILLA - EMISORA</t>
  </si>
  <si>
    <t>POLONUEVO</t>
  </si>
  <si>
    <t>AEPTO SANTA MARTA</t>
  </si>
  <si>
    <t>SEVILLANO VOR SANTA MARTA</t>
  </si>
  <si>
    <t>CERRO KENNEDY</t>
  </si>
  <si>
    <t>AEPTO. C/GENA</t>
  </si>
  <si>
    <t>APTO C/GENA</t>
  </si>
  <si>
    <t>CARTAGENA-VOR PARICUICA</t>
  </si>
  <si>
    <t>CERRO MACO</t>
  </si>
  <si>
    <t>LA CASONA</t>
  </si>
  <si>
    <t>AEPTO. SAN ANDRES</t>
  </si>
  <si>
    <t>SAN ANDRES VOR</t>
  </si>
  <si>
    <t>PROVIDENCIA</t>
  </si>
  <si>
    <t>AEPTO. RIOHACHA</t>
  </si>
  <si>
    <t>RIOHACHA- VOR</t>
  </si>
  <si>
    <t>BAÑADERO-ENLACE MICROOND</t>
  </si>
  <si>
    <t>AEPTO. VALLEDUPAR</t>
  </si>
  <si>
    <t>LA PAZ-VOR</t>
  </si>
  <si>
    <t>ESTACION ELBANCO</t>
  </si>
  <si>
    <t>AEPTO. MAGANGUE</t>
  </si>
  <si>
    <t>AEPTO. COROZAL</t>
  </si>
  <si>
    <t>AEPTO. COROZAL – RADAR METOROLOGICO</t>
  </si>
  <si>
    <t>TUBARA</t>
  </si>
  <si>
    <t>AEPTO. CALI</t>
  </si>
  <si>
    <t>AEROPUERTO CALI-CC RADAR</t>
  </si>
  <si>
    <t>APTO CALI-CC RADAR</t>
  </si>
  <si>
    <t>CALI PUERTO</t>
  </si>
  <si>
    <t>ROZO</t>
  </si>
  <si>
    <t>SANTA ANA</t>
  </si>
  <si>
    <t>TULUA-VOR</t>
  </si>
  <si>
    <t>AEPTO. ARMENIA</t>
  </si>
  <si>
    <t>EL PASO-NDB</t>
  </si>
  <si>
    <t>PEREIRA SANTA RITA VOR</t>
  </si>
  <si>
    <t>BUENAVENTURA-VOR</t>
  </si>
  <si>
    <t>AEPTO. B/VENTURA</t>
  </si>
  <si>
    <t>APTO POPAYAN</t>
  </si>
  <si>
    <t>MERCADERES VOR</t>
  </si>
  <si>
    <t>AEPTO. GUAPI</t>
  </si>
  <si>
    <t>AEPTO. TUMACO</t>
  </si>
  <si>
    <t>AEPTO. PASTO</t>
  </si>
  <si>
    <t>AEPTO. IPIALES</t>
  </si>
  <si>
    <t>AEPTO. CUCUTA</t>
  </si>
  <si>
    <t>CUCUTA MKR-NDB</t>
  </si>
  <si>
    <t>CERRO LA VIRGEN</t>
  </si>
  <si>
    <t>CERRO MEJUE</t>
  </si>
  <si>
    <t>APTO OCAÑA</t>
  </si>
  <si>
    <t>CERRO TASAJERO</t>
  </si>
  <si>
    <t>JURISDICCIONES</t>
  </si>
  <si>
    <t>AEPTO. B/MANGA</t>
  </si>
  <si>
    <t>AEPTO. BUCARAMANGA AIS/COM/MET</t>
  </si>
  <si>
    <t>M. LOS SANTOS VOR</t>
  </si>
  <si>
    <t>M.  LOS SANTOS VOR</t>
  </si>
  <si>
    <t>CERRO PICACHO</t>
  </si>
  <si>
    <t>AEPTO. B/BERMEJA</t>
  </si>
  <si>
    <t>AEPTO. SARAVENA</t>
  </si>
  <si>
    <t>AEPTO ARAUCA</t>
  </si>
  <si>
    <t>CERRO ANGOSTURA</t>
  </si>
  <si>
    <t>AEPTO. TAME</t>
  </si>
  <si>
    <t>AEPTO. V/CENCIO</t>
  </si>
  <si>
    <t>BARRANCA DE UPIA</t>
  </si>
  <si>
    <t>CARIMAGUA</t>
  </si>
  <si>
    <t>EL TIGRE</t>
  </si>
  <si>
    <t>POMPEYA</t>
  </si>
  <si>
    <t>AEPTO. YOPAL</t>
  </si>
  <si>
    <t>YOPAL-VOR</t>
  </si>
  <si>
    <t>TABLON DE TAMARA</t>
  </si>
  <si>
    <t>S. J. GUAVIARE VOR</t>
  </si>
  <si>
    <t>AEROPUERTO INIRIDA</t>
  </si>
  <si>
    <t>PTO INIRIDA VOR</t>
  </si>
  <si>
    <t>AEPTO. MITU</t>
  </si>
  <si>
    <t>AEPTO. PTO. CARREÑO</t>
  </si>
  <si>
    <t>ADQUISICION, INSTALACION, CALIBRACION, PRUEBA Y PUESTA EN FUNCIONAMIENTO DE EQUIPOS Y SUBESTACIONES ELECTRICAS Y COMPLEMENTARIOS.</t>
  </si>
  <si>
    <t>ADQUISICION, INSTALACION, ELECTRIFICACION CON RED COMERCIAL NUEVAS ESTACIONES, CONSTRUCCION DE REDES AEREAS- SUBTERRANEAS Y ACTIVIDADES COMPLEMENTARIAS.</t>
  </si>
  <si>
    <t>MANTENIMIENTO Y CONSERVACION DE EQUIPOS Y SISTEMAS AEROPORTUARIOS A NIVEL NACIONAL.</t>
  </si>
  <si>
    <t>ADQUISICION SERVICIO RED INTEGRADA DE MICROONDAS, CANALES TELEFONICOS Y TELEGRAFICOS NIVEL NACIONAL.</t>
  </si>
  <si>
    <t>Prestación del servicio de segmento satelital para las estaciones terrenas (VSAT) de la Aeronáutica Civil</t>
  </si>
  <si>
    <t>Pago de proyectos de la Organización de Aviación Civil Internacional (RLA/03/901 - RLA/06/901) o asesorías de la OACI</t>
  </si>
  <si>
    <t>Pago Ministerio de Tecnologías de la Información y las Comunicaciones (MINTIC) por uso del espectro radioeléctrico</t>
  </si>
  <si>
    <t>Arrendamiento de espacios para alojamiento de equipos y suministro de energía.</t>
  </si>
  <si>
    <t>Prestación de servicios de consultoría y asesoría técnica especializada para la red de telecomunicaciones aeronáutica</t>
  </si>
  <si>
    <t>ADQUISICION DE EQUIPOS PARA REDES DE TELECOMUNICACIONES.</t>
  </si>
  <si>
    <t>Adquisición, instalación y puesta en servicio de radioenlaces por microondas o ampliación de la capacidad de los enlaces de microondas</t>
  </si>
  <si>
    <t>Adquisición, instalación y puesta en servicio de equipos de comunicaciones para torres de control y centro de control (VCCS)</t>
  </si>
  <si>
    <t>Adquisición, instalación y puesta en servicio de sistemas de grabación de comunicaciones de las dependencias ATC</t>
  </si>
  <si>
    <t>Adquisición, instalación y puesta en servicio de sistemas de comunicaciones satelital (VSAT)</t>
  </si>
  <si>
    <t>Adquisición, instalación y puesta en funcionamiento de equipos para el servicio de comunicaciones orales ATS o servicio de telefonía nacional</t>
  </si>
  <si>
    <t>Adquisición, instalación y puesta en servicio de equipos terminales y complementarios para la red de mensajería aeronáutica (AMHS)</t>
  </si>
  <si>
    <t>Adquisición, instalación y puesta en servicio de equipos de VHF para las dependencias ATC</t>
  </si>
  <si>
    <t>Adquisición de equipos de comunicaciones portátiles en banda aeronáutica o banda libre</t>
  </si>
  <si>
    <t>Adquisición, instalación y puesta en servicio de equipos multiplexores para la red de telecomunicaciones aeronáutica (ATN)</t>
  </si>
  <si>
    <t>Adquisición, instalación y puesta en servicio de equipos y accesorios para la red de telecomunicaciones aeronáuticas (WAN Y LAN)</t>
  </si>
  <si>
    <t>Gastos generales: pagos deducibles siniestros, ajustes de IVA y TRM</t>
  </si>
  <si>
    <t>MANTENIMIENTO EQUIPOS Y SISTEMAS COMUNICACIONES</t>
  </si>
  <si>
    <t>ADQUISICIÓN EQUIPOS SAR</t>
  </si>
  <si>
    <t>ADQUISICION DE EQUIPOS DE RESCATE  - SAR.</t>
  </si>
  <si>
    <t>ADQUISICION DE HERRAMIENTAS DE RESCATE  - SAR.</t>
  </si>
  <si>
    <t>ADQUISICION DE ELEMENTOS DE PROTECCION PERSONAL  SAR.</t>
  </si>
  <si>
    <t>ADQUISICION DE COMBUSTIBLES Y LUBRICANTES -SAR.</t>
  </si>
  <si>
    <t>ADQUISICION PRODUCTOS MANTENIMIENTO Y LIMPIEZA MAQUINAS  SAR</t>
  </si>
  <si>
    <t>MANTENIMIENTO EQUIPOS SAR</t>
  </si>
  <si>
    <t>MANTENIMIENTO PREVENTIVO Y CORRECTIVO DE VEHICULOS DE RESCATE - SAR.</t>
  </si>
  <si>
    <t xml:space="preserve">REPOSICION PARQUE AUTOMOTOR  VEHICULOS - SAR </t>
  </si>
  <si>
    <t>RENOVACION DE LLANTAS PARA LOS VEHICULOS  DE RESCATE.</t>
  </si>
  <si>
    <t>MANTENIMIENTO PREVENTIVO Y CORRECTIVO DE EQUIPOS -SAR (INCLUYEN REPUESTOS).</t>
  </si>
  <si>
    <t>MANTENIMIENTO PREVENTIVO Y CORRECTIVO DE HERRAMIENTAS  - SAR</t>
  </si>
  <si>
    <r>
      <t>ADQUISICION DE EQUIPOS Y SISTEMAS</t>
    </r>
    <r>
      <rPr>
        <b/>
        <u val="singleAccounting"/>
        <sz val="10"/>
        <rFont val="Arial"/>
        <family val="2"/>
      </rPr>
      <t xml:space="preserve"> </t>
    </r>
    <r>
      <rPr>
        <b/>
        <sz val="10"/>
        <rFont val="Arial"/>
        <family val="2"/>
      </rPr>
      <t>PARA LA RED METEOROLOGICA AERONAUTICA.</t>
    </r>
  </si>
  <si>
    <t xml:space="preserve">SISTEMAS METEOROLÓGICOS AERONÁUTICOS (ESTACIÓN METEOROLÓGICA AUTOMÁTICA DE SUPERFICIE (EMAS), SISTEMA DE VIENTOS, EQUIPO MEDIDOR DE ALCANCE VISUAL EN PISTA, EQUIPO MEDIDOR TECHO DE NUBES) </t>
  </si>
  <si>
    <t>AEROPUERTOS DE YOPAL, PEREIRA, SANTA MARTA, BARRANQUILLA, CARTAGENA, LETICIA, CALI,  BARRANCABERMEJA, IBAGUÉ, GUAPI Y SAN VICENTE DEL CAGUAN</t>
  </si>
  <si>
    <t>SISTEMAS METEOROLÓGICOS AERONÁUTICOS (ESTACIÓN METEOROLÓGICA AUTOMÁTICA DE SUPERFICIE EMAS, EQUIPO MEDIDOR DE ALCANCE VISUAL EN PISTA, EQUIPO MEDIDOR DE TECHO DE NUBES, CIELOMETROS, RADIÓMETRO DE MICROONDA PASIVO</t>
  </si>
  <si>
    <t xml:space="preserve">ADQUISICIÓN, INSTALACIÓN, INTEGRACIÓN Y PUESTA EN FUNCIONAMIENTO DE SISTEMAS METEOROLÓGICOS AERONÁUTICOS (ESTACIÓN METEOROLÓGICA AUTOMÁTICA DE SUPERFICIE (EMAS), SISTEMA DE VIENTOS, EQUIPO MEDIDOR DE ALCANCE VISUAL EN PISTA, EQUIPO MEDIDOR TECHO DE NUBES) PARA LOS AEROPUERTOS DE:
</t>
  </si>
  <si>
    <t>SAN ANDRES, RIONEGRO, BUCARAMANGA Y CUCUTA
ITEM 2: IPIALES, VILLAVICENCIO, MANIZALES, MONTERIA, NEIVA Y QUIBDO</t>
  </si>
  <si>
    <t>SISTEMA AWOS CAT I</t>
  </si>
  <si>
    <t>Pasto, Arauca, Bahia Solano, Buenaventura, Carepa, Cartago, Corozal,  Florencia, Girardot, Mariquita, Mitu, Ocaña, Popayan, Puerto Asis, Puerto Carreño, San Jose  del Guaviare, Saravena, Tame, Tolu, Tumaco, Puerto Inirida,  Ocaña, Villa Garzon, Tulua, Araracuara, chaparral,  Mangangue, Maicao, Mompos, Morelia, Nuqui, Pitalito, Puerto Bolivar</t>
  </si>
  <si>
    <t>5000</t>
  </si>
  <si>
    <t>15000</t>
  </si>
  <si>
    <t>17000</t>
  </si>
  <si>
    <t>SISTEMA AWOS CAT II</t>
  </si>
  <si>
    <t>Armenia, Medellin, Riohacha, Valledupar, Providencia, Guaymaral</t>
  </si>
  <si>
    <t>SISTEMA AWOS CAT III-C</t>
  </si>
  <si>
    <t xml:space="preserve">Bogotá </t>
  </si>
  <si>
    <t>Barranquilla, Cartagena, Santa Marta, Cali, Pereira, Leticia, Yopal, Guapi, Ibague, San Vicente de Caguan,  Barrancabermeja.</t>
  </si>
  <si>
    <t>Radar Meteorologico</t>
  </si>
  <si>
    <t>San Andrés</t>
  </si>
  <si>
    <t xml:space="preserve">Radar Meteorológico </t>
  </si>
  <si>
    <t>Riohacha</t>
  </si>
  <si>
    <t>Carimagua</t>
  </si>
  <si>
    <t>Cali</t>
  </si>
  <si>
    <t>Tasajero</t>
  </si>
  <si>
    <t>Renovacion Radares Meteorologicos</t>
  </si>
  <si>
    <t xml:space="preserve">Desarrollo de estudio y análisis de cizalladura de viento en aeropuertos </t>
  </si>
  <si>
    <t>Bogota, Providencia, Cúcuta, Cartagena, Barranquilla, Pasto, Leticia, Bucaramanga</t>
  </si>
  <si>
    <t>Desarrollo de ajuste a nivel nacional del QNH</t>
  </si>
  <si>
    <t xml:space="preserve">Proyecto AMDAR </t>
  </si>
  <si>
    <t>Radar Perfilador LLWAS</t>
  </si>
  <si>
    <t>Sistema integral de mediciones atmosféricas - SIMA</t>
  </si>
  <si>
    <t>Identificador de nubosidad y precipitación disponible - INPD</t>
  </si>
  <si>
    <t xml:space="preserve">Pronosticador de Tormentas Convectivas - PTC </t>
  </si>
  <si>
    <t>Renovación WIFS</t>
  </si>
  <si>
    <t>Renovación GVAR</t>
  </si>
  <si>
    <t>Implementación DATIS  en aeropuertos internacionales</t>
  </si>
  <si>
    <t>Nivel Nacional</t>
  </si>
  <si>
    <t xml:space="preserve">Implementación del sistema D-VOLMET para la prestación del servicio MET a aeronaves en vuelo  </t>
  </si>
  <si>
    <t>Modelo numérico a mesoescala</t>
  </si>
  <si>
    <t xml:space="preserve">Radiometro </t>
  </si>
  <si>
    <t>Bogota</t>
  </si>
  <si>
    <t>MANTENIMIENTO EQUIPOS Y SISTEMAS PARA LA RED METEOROLOGICA AERONAUTICA.</t>
  </si>
  <si>
    <t>ADQUISICIÓN EQUIPOS NAVEGACIÓN</t>
  </si>
  <si>
    <t>DVOR/DME</t>
  </si>
  <si>
    <t>MONTERIA</t>
  </si>
  <si>
    <t xml:space="preserve">DME </t>
  </si>
  <si>
    <t>PIEDECUESTA</t>
  </si>
  <si>
    <t>CALI</t>
  </si>
  <si>
    <t>CAREPA</t>
  </si>
  <si>
    <t>MARIQUITA</t>
  </si>
  <si>
    <t>OTU</t>
  </si>
  <si>
    <t>QUIBDO</t>
  </si>
  <si>
    <t>MAGANGUE</t>
  </si>
  <si>
    <t>EL BANCO</t>
  </si>
  <si>
    <t>SARAVENA</t>
  </si>
  <si>
    <t>P. INIRIDA</t>
  </si>
  <si>
    <t>P. CARREÑO</t>
  </si>
  <si>
    <t>ILS</t>
  </si>
  <si>
    <t>CUCUTA 03-21</t>
  </si>
  <si>
    <t>ELDORADO 13L</t>
  </si>
  <si>
    <t>ILS (GLIDE SLOPE)</t>
  </si>
  <si>
    <t xml:space="preserve">ILS </t>
  </si>
  <si>
    <t xml:space="preserve">DME/DME TMA </t>
  </si>
  <si>
    <t>MONITOREO GNSS (hardware-Gered)</t>
  </si>
  <si>
    <t>NIVEL NACIONAL</t>
  </si>
  <si>
    <t>MONITOREO GNSS (Software)</t>
  </si>
  <si>
    <t>Actualizacion de sistemas de radioayudas</t>
  </si>
  <si>
    <t>NIVEL CENTRAL</t>
  </si>
  <si>
    <t>Actualizacion de sistemas de radioayudas ILS</t>
  </si>
  <si>
    <t>Aeropuerto Rionegro</t>
  </si>
  <si>
    <t>Aeropuerto Leticia</t>
  </si>
  <si>
    <t xml:space="preserve">ESTUDIO VIABILIDAD GNSS/GBAS </t>
  </si>
  <si>
    <t>ELDORADO</t>
  </si>
  <si>
    <t xml:space="preserve">GBAS </t>
  </si>
  <si>
    <t>SISTEMA DE CALIBRACION EN TIERRA MOVIL</t>
  </si>
  <si>
    <t>MANTENIMIENTO SISTEMAS DE RADIOAYUDAS</t>
  </si>
  <si>
    <t xml:space="preserve">Mantenimiento de modulos y tarjetas de los sistemas de Radioayudas que integran la red Nacional </t>
  </si>
  <si>
    <t>AMPLIACION RED DE VIGILANCIA A NIVEL NACIONAL.</t>
  </si>
  <si>
    <t>SENSORES VIGILANCIA</t>
  </si>
  <si>
    <t>CABEZA RADAR</t>
  </si>
  <si>
    <t>TABLAZO</t>
  </si>
  <si>
    <t>SANTANA</t>
  </si>
  <si>
    <t>CABEZA RADAR SSR</t>
  </si>
  <si>
    <t>PICACHO</t>
  </si>
  <si>
    <t>MADROÑO</t>
  </si>
  <si>
    <t>ARARACUARA</t>
  </si>
  <si>
    <t>DORADO</t>
  </si>
  <si>
    <t>FLANDES</t>
  </si>
  <si>
    <t>MULTILATERACIÓN (capacidad ADS-B)</t>
  </si>
  <si>
    <t>BOGOTA (TMA/EDR))</t>
  </si>
  <si>
    <t>BAQ (TMA BAQ)</t>
  </si>
  <si>
    <t>MEDELLIN (TMA)</t>
  </si>
  <si>
    <t>CUCUTA (TMA)</t>
  </si>
  <si>
    <t>VIGILANCIA ADS.B NIVEL SUPERIOR</t>
  </si>
  <si>
    <t>VIGILANCIA ADS.B NIVEL INFERIOR</t>
  </si>
  <si>
    <t xml:space="preserve">SENSOR VIGILANCIA SMR </t>
  </si>
  <si>
    <t>EDR</t>
  </si>
  <si>
    <t>AUTOMATIZACION ATM</t>
  </si>
  <si>
    <t>CENTRO DE CONTROL ATC</t>
  </si>
  <si>
    <t>ACC BOG</t>
  </si>
  <si>
    <t>ACC BAQ</t>
  </si>
  <si>
    <t>SALA DE VIGILANCIA ATC</t>
  </si>
  <si>
    <t>APP SPP</t>
  </si>
  <si>
    <t>APP CLO</t>
  </si>
  <si>
    <t>APP RNG</t>
  </si>
  <si>
    <t>APP VVC</t>
  </si>
  <si>
    <t>SALA DE VIGILANCIA ATC DEPENDIENTE ACC BOG</t>
  </si>
  <si>
    <t>APP NEIVA</t>
  </si>
  <si>
    <t>APP CUC</t>
  </si>
  <si>
    <t>APP BUG</t>
  </si>
  <si>
    <t>APP PEI</t>
  </si>
  <si>
    <t>VIGILANCIA ATC TWR</t>
  </si>
  <si>
    <t>APP LET</t>
  </si>
  <si>
    <t>TWR GIRARDOT</t>
  </si>
  <si>
    <t>TWR BARRANCABERMEJA</t>
  </si>
  <si>
    <t>TWR IBAGUE</t>
  </si>
  <si>
    <t>TWR FLORENCIA</t>
  </si>
  <si>
    <t>TWR ARAUCA</t>
  </si>
  <si>
    <t>TWR MARIQUITA</t>
  </si>
  <si>
    <t>TWR LETICIA</t>
  </si>
  <si>
    <t>TWR MELGAR CACOM No.4</t>
  </si>
  <si>
    <t>TWR QUIBDO</t>
  </si>
  <si>
    <t>TWR PASTO</t>
  </si>
  <si>
    <t>TWR POPAYAN</t>
  </si>
  <si>
    <t>TWR APIAY CACOM No.2</t>
  </si>
  <si>
    <t>TWR CTG</t>
  </si>
  <si>
    <t>TWR SANTA MARTA</t>
  </si>
  <si>
    <t>TWR MONTERIA</t>
  </si>
  <si>
    <t>TWR VALLEDUPAR</t>
  </si>
  <si>
    <t>TWR RIOHACCHA</t>
  </si>
  <si>
    <t>TWR CAREPA</t>
  </si>
  <si>
    <t>TWR MEDELLIN (TMA)</t>
  </si>
  <si>
    <t>TWR PEI</t>
  </si>
  <si>
    <t xml:space="preserve"> </t>
  </si>
  <si>
    <t>TWR ARMENIA</t>
  </si>
  <si>
    <t>TWR YOPAL</t>
  </si>
  <si>
    <t>TWR SAN JOSE</t>
  </si>
  <si>
    <t>TWR GUAYMARAL</t>
  </si>
  <si>
    <t>ATC TWR A-SMGCS</t>
  </si>
  <si>
    <t>TWR BOG</t>
  </si>
  <si>
    <t>TWR RNG</t>
  </si>
  <si>
    <t>TWR BAQ</t>
  </si>
  <si>
    <t>TORRES DE CONTROL - UNIDAD DE FLUJO</t>
  </si>
  <si>
    <t>HARMONY</t>
  </si>
  <si>
    <t>SISTEMA INTEGRADO DE INFORMACION TWR</t>
  </si>
  <si>
    <t>TWR CLO</t>
  </si>
  <si>
    <t>TWR SPP</t>
  </si>
  <si>
    <t>TWR VVC</t>
  </si>
  <si>
    <t>TWR NEI</t>
  </si>
  <si>
    <t>TWR CUC</t>
  </si>
  <si>
    <t>TWR BUG</t>
  </si>
  <si>
    <t>TWR LET</t>
  </si>
  <si>
    <t>MATENIMIENTO RED DE VIGILANCIA A NIVEL NACIONAL.</t>
  </si>
  <si>
    <t>SERVICIOS AEROPORTUARIOS</t>
  </si>
  <si>
    <t>CONSTRUCCIÓN DE INFRAESTRUCTURA AEROPORTUARIA A NIVEL NACIONAL</t>
  </si>
  <si>
    <t>CRAVO NORTE</t>
  </si>
  <si>
    <t>SANTIAGO PEREZ QUIROZ</t>
  </si>
  <si>
    <t>SANTIAGO VILA</t>
  </si>
  <si>
    <t>REYES MURILLO</t>
  </si>
  <si>
    <t>FABIO A. LEON BENTLEY</t>
  </si>
  <si>
    <t>HACARITAMA</t>
  </si>
  <si>
    <t>VANGUARDIA</t>
  </si>
  <si>
    <t>EDUARDO FALLA SOLANO</t>
  </si>
  <si>
    <t>GUSTAVO ROJAS PINILLA</t>
  </si>
  <si>
    <t>TRINIDAD</t>
  </si>
  <si>
    <t>MORELA</t>
  </si>
  <si>
    <t>EL EMBRUJO</t>
  </si>
  <si>
    <t>JUAN CASIANO</t>
  </si>
  <si>
    <t>PERALES</t>
  </si>
  <si>
    <t>GERMAN OLANO</t>
  </si>
  <si>
    <t>EL EDEN</t>
  </si>
  <si>
    <t>GUSTAVO VARGAS</t>
  </si>
  <si>
    <t>EL PINDO</t>
  </si>
  <si>
    <t>ANTONIO NARIÑO</t>
  </si>
  <si>
    <t>LA FLORIDA</t>
  </si>
  <si>
    <t>CANANGUCHAL</t>
  </si>
  <si>
    <t>GUSTAVO ROJAS P.</t>
  </si>
  <si>
    <t>ALFREDO VASQUEZ COBO</t>
  </si>
  <si>
    <t>COLONIZADORES</t>
  </si>
  <si>
    <t>PAZ DE ARIPORO</t>
  </si>
  <si>
    <t>BENITO SALAS VARGAS</t>
  </si>
  <si>
    <t>MANDINGA</t>
  </si>
  <si>
    <t>GERARDO TOVAR</t>
  </si>
  <si>
    <t>PALONEGRO</t>
  </si>
  <si>
    <t>GUILLERMO LEON VALENCIA</t>
  </si>
  <si>
    <t>CAMILO DAZA</t>
  </si>
  <si>
    <t>TRES DE MAYO</t>
  </si>
  <si>
    <t>AGUAS CLARAS</t>
  </si>
  <si>
    <t>CONTADOR</t>
  </si>
  <si>
    <t>YARIGUIES</t>
  </si>
  <si>
    <t>ALI PIEDRAHITA</t>
  </si>
  <si>
    <t>EL ALCARAVÁN</t>
  </si>
  <si>
    <t>FLAMINIO S. CAMACHO (GUAYMARAL)</t>
  </si>
  <si>
    <t>JOSE CELESTINO MUTIS</t>
  </si>
  <si>
    <t>EL TRONCAL</t>
  </si>
  <si>
    <t>SAN MARTIN</t>
  </si>
  <si>
    <t>NAVAS PARDO</t>
  </si>
  <si>
    <t>ALBERTO JARAMILLO SANCHEZ - OTU</t>
  </si>
  <si>
    <t>HATO COROZAL</t>
  </si>
  <si>
    <t>GOLFO DE MORROSQUILLO</t>
  </si>
  <si>
    <t>EL DORADO</t>
  </si>
  <si>
    <t>MATECAÑA</t>
  </si>
  <si>
    <t>EL RIO DE AMALFI</t>
  </si>
  <si>
    <t>JOSE MARIA CORDOVA</t>
  </si>
  <si>
    <t>ALFONSO BONILLA ARAGON</t>
  </si>
  <si>
    <t>RAFAEL NUÑEZ</t>
  </si>
  <si>
    <t>ERNESTO. CORTISSOZ</t>
  </si>
  <si>
    <t>EL CARAÑO</t>
  </si>
  <si>
    <t>LOS GARZONES</t>
  </si>
  <si>
    <t>SIMON BOLIVAR</t>
  </si>
  <si>
    <t>ANTONIO ROLDAN BETANCOURT - LOS ALMENDROS</t>
  </si>
  <si>
    <t>BARACOA</t>
  </si>
  <si>
    <t>ALFONSO LOPEZ P.</t>
  </si>
  <si>
    <t>GUSTAVO ARTUNDUAGA PAREDES</t>
  </si>
  <si>
    <t>LAS BRUJAS</t>
  </si>
  <si>
    <t>ALMIRANTE PADILLA</t>
  </si>
  <si>
    <t xml:space="preserve">SAN LUIS </t>
  </si>
  <si>
    <t>GONZALO MEJIA</t>
  </si>
  <si>
    <t>SAN BERNARDO</t>
  </si>
  <si>
    <t>GUSTAVO ROJAS</t>
  </si>
  <si>
    <t xml:space="preserve">EL BANCO </t>
  </si>
  <si>
    <t>RONDON</t>
  </si>
  <si>
    <t>OLAYA HERRERA</t>
  </si>
  <si>
    <t>LAS FLORES.</t>
  </si>
  <si>
    <t>JUAN JOSE RONDON</t>
  </si>
  <si>
    <t>BERASTEGUI-</t>
  </si>
  <si>
    <t>MANTENIMIENTO Y CONSERVACION INFRAESTRUCTURA AEROPORTUARIA</t>
  </si>
  <si>
    <t>MANTENIMIENTO Y CONSERVACION ESTACIONES AERONAUTICAS</t>
  </si>
  <si>
    <t>CERRO GORDO</t>
  </si>
  <si>
    <t>MARINILLA</t>
  </si>
  <si>
    <t>VOR/DME OTU</t>
  </si>
  <si>
    <t>BAHIA SOLANO</t>
  </si>
  <si>
    <t>JOSE MARIA CORDOBA</t>
  </si>
  <si>
    <t>LA CEJA</t>
  </si>
  <si>
    <t>GUARNE</t>
  </si>
  <si>
    <t>POPALITO - BARBOSA</t>
  </si>
  <si>
    <t>ESTACION CASA EMISORA OTU</t>
  </si>
  <si>
    <t>ESTACION CASA EMISORA JOSE MARIA CORDOVA</t>
  </si>
  <si>
    <t>DVOR/DME MONTERIA</t>
  </si>
  <si>
    <t>JARDIN</t>
  </si>
  <si>
    <t>YARUMAL</t>
  </si>
  <si>
    <t>CAUCASIA</t>
  </si>
  <si>
    <t>BOQUERON</t>
  </si>
  <si>
    <t>LA BARRA</t>
  </si>
  <si>
    <t>VILLA KEMPIS</t>
  </si>
  <si>
    <t>CERRO AZUL</t>
  </si>
  <si>
    <t>MALAMBO</t>
  </si>
  <si>
    <t xml:space="preserve">CERRO MACO </t>
  </si>
  <si>
    <t>LA PAZ</t>
  </si>
  <si>
    <t>EL SEVILLANO</t>
  </si>
  <si>
    <t>PARICUICA</t>
  </si>
  <si>
    <t>EL CLIFF</t>
  </si>
  <si>
    <t>ALGUACIL</t>
  </si>
  <si>
    <t>CABRITO</t>
  </si>
  <si>
    <t>TODOS LOS SANTOS</t>
  </si>
  <si>
    <t>LA PITA</t>
  </si>
  <si>
    <t>BAÑADEROS</t>
  </si>
  <si>
    <t>EL TOTUMO</t>
  </si>
  <si>
    <t>ESPINAL</t>
  </si>
  <si>
    <t>LOMAS</t>
  </si>
  <si>
    <t>CERRO MANJUI</t>
  </si>
  <si>
    <t>NORMANDÍA</t>
  </si>
  <si>
    <t>PICALEÑA</t>
  </si>
  <si>
    <t xml:space="preserve">EL ROSAL </t>
  </si>
  <si>
    <t>VOR FLORENCIA CAPITOLIO</t>
  </si>
  <si>
    <t>VOR/DME FLANDES</t>
  </si>
  <si>
    <t>RADAR LETICIA</t>
  </si>
  <si>
    <t>VOR/DME/ PUERTO LEGUIZAMO</t>
  </si>
  <si>
    <t>COM PUERTO LEGUIZAMO</t>
  </si>
  <si>
    <t>FLORIDA</t>
  </si>
  <si>
    <t xml:space="preserve">VOR/DME SAN VICENTE CAGUÁN </t>
  </si>
  <si>
    <t>COM  SAN VICENTE CAGÚAN</t>
  </si>
  <si>
    <t>VOR/DME LETICIA</t>
  </si>
  <si>
    <t>SOGAMOSO</t>
  </si>
  <si>
    <t>ESTACION MARCADOR MEDIO 1.3R</t>
  </si>
  <si>
    <t>ALTO DEL TIGRE</t>
  </si>
  <si>
    <t xml:space="preserve">POMPEYA </t>
  </si>
  <si>
    <t xml:space="preserve">EL YOPAL </t>
  </si>
  <si>
    <t>ALTO LA VIRGEN</t>
  </si>
  <si>
    <t>CERRO ORIENTE</t>
  </si>
  <si>
    <t>VEGA DEL POTRO - MARCADOR EXTERIOR</t>
  </si>
  <si>
    <t>BARICHARA</t>
  </si>
  <si>
    <t>CHIVERA - MARCADOR MEDIO</t>
  </si>
  <si>
    <t>MESA DE LOS SANTOS</t>
  </si>
  <si>
    <t>VOR BUCARAMANGA</t>
  </si>
  <si>
    <t>ANGOSTURA</t>
  </si>
  <si>
    <t>CASA REGULADORES TAME</t>
  </si>
  <si>
    <t>CASA EMISORA ARAUCA</t>
  </si>
  <si>
    <t>MERCADERES</t>
  </si>
  <si>
    <t>CALI MARCADOR MEDIO</t>
  </si>
  <si>
    <t>CALIPUERTO</t>
  </si>
  <si>
    <t>PALMA - ROZO</t>
  </si>
  <si>
    <t>DIAMANTE</t>
  </si>
  <si>
    <t>TULUA</t>
  </si>
  <si>
    <t>VERSALLES</t>
  </si>
  <si>
    <t>CAMPANARIO</t>
  </si>
  <si>
    <t>EL PASO</t>
  </si>
  <si>
    <t xml:space="preserve">SANTA RITA </t>
  </si>
  <si>
    <t>AEROPUERTOS COMUNITARIOS</t>
  </si>
  <si>
    <t>REGION CARIBE</t>
  </si>
  <si>
    <t>REGION PACIFICO</t>
  </si>
  <si>
    <t>REGION LLANOS</t>
  </si>
  <si>
    <t>REGION EJE CAFETERO</t>
  </si>
  <si>
    <t>REGION CENTRO ORIENTE</t>
  </si>
  <si>
    <t>REGION CENTRO SUR</t>
  </si>
  <si>
    <t>Adquisición y renovación de equipos y elementos para la seguridad en aeropuertos</t>
  </si>
  <si>
    <t>ADQUISICION, INSTALACION Y PUESTA EN FUNCIONAMIENTO DE CIRCUITOS CERRADOS DE TELEVISION Y GRABADORAS DIGITALES DE VIDEO.</t>
  </si>
  <si>
    <t>AEROPUERTO SAN ANDRES</t>
  </si>
  <si>
    <t>AEROPUERTO YOPAL</t>
  </si>
  <si>
    <t>AEROPUERTO ARAUCA</t>
  </si>
  <si>
    <t>AEROPUERTO TUMACO</t>
  </si>
  <si>
    <t>AEROPUERTO PUERTO CARREÑO</t>
  </si>
  <si>
    <t>AEROPUERTO IPIALES</t>
  </si>
  <si>
    <t>AEROPUERTO PASTO</t>
  </si>
  <si>
    <t>AEROPUERTO BUENAVENTURA</t>
  </si>
  <si>
    <t>AEROPUERTO GUAPI</t>
  </si>
  <si>
    <t>AEROPUERTO MITU</t>
  </si>
  <si>
    <t>AEROPUERTO SARAVENA</t>
  </si>
  <si>
    <t>CENTRO DE CONTROL RIONEGRO</t>
  </si>
  <si>
    <t>CENTRO DE CONTROL CALI</t>
  </si>
  <si>
    <t>CENTRO DE CONTROL BARRANQUILLA</t>
  </si>
  <si>
    <t>CENTRO DE CONTROL VILLAVICENCIO</t>
  </si>
  <si>
    <t>EDIFICIO NEAA</t>
  </si>
  <si>
    <t>EDIFICIO CEA</t>
  </si>
  <si>
    <t>ALMACEN GENERAL</t>
  </si>
  <si>
    <t>AEROPUERTO NEIVA</t>
  </si>
  <si>
    <t>AEROPUERTO FLORENCIA</t>
  </si>
  <si>
    <t>AEROPUERTO PUERTO ASIS</t>
  </si>
  <si>
    <t>AEROPUERTO ARMENIA</t>
  </si>
  <si>
    <t>AEROPUERTO VILLAVICENCIO</t>
  </si>
  <si>
    <t>AEROPUERTO POPAYAN</t>
  </si>
  <si>
    <t>AEROPUERTO BOGOTA-CGAC</t>
  </si>
  <si>
    <t>AEROPUERTO RIONEGRO-CGAC</t>
  </si>
  <si>
    <t>AEROPUERTO CALI-CGAC</t>
  </si>
  <si>
    <t>AEROPUERTO BARRANQUILLA-CGAC</t>
  </si>
  <si>
    <t>AEROPUERTO CARTAGENA-CGAC</t>
  </si>
  <si>
    <t>AEROPUERTO SANTA MARTA-CGAC</t>
  </si>
  <si>
    <t>AEROPUERTO CUCUTA-CGAC</t>
  </si>
  <si>
    <t>AEROPUERTO BUCARAMANGA-CGAC</t>
  </si>
  <si>
    <t>ADQUISICION  EQUIPOS  DE INSPECCION (MAQUINAS DE RAYOS X Y  ARCOS DETECTORES DE METALES</t>
  </si>
  <si>
    <t>BARRANCABERMEJA, MITU PTO CARREÑO FLORENCIA</t>
  </si>
  <si>
    <t>NEIVA POPAYAN NEA ARAMENIA VVCIO(1piso) TOLU</t>
  </si>
  <si>
    <t xml:space="preserve">ARAUCA CEA VV (2piso)VILLA GARZON </t>
  </si>
  <si>
    <t>IPIALES LETICIA PTO ASIS</t>
  </si>
  <si>
    <t>S VICENTE DE CAGUAN OTU CONDOTO TUMACO</t>
  </si>
  <si>
    <t>GUAPI TAME SARAVENA</t>
  </si>
  <si>
    <t>CALI SAN ANDRES</t>
  </si>
  <si>
    <t>YOPAL IBAGUE CGAC PASTO</t>
  </si>
  <si>
    <t>ARMENIA BUENAVENTURA MITU PTO CARREÑO</t>
  </si>
  <si>
    <t>NEIVA POPAYAN FLORENCIA ARMENIA</t>
  </si>
  <si>
    <t xml:space="preserve">NEA VILLA GARZON (1 PISO) LETICIA </t>
  </si>
  <si>
    <t>ARAUCA CEA VILLAVICENCIO (2PISO)</t>
  </si>
  <si>
    <t xml:space="preserve">IPIALES VILLA GARZON </t>
  </si>
  <si>
    <t>ADQUISICION  SISTEMAS DE IDENTIFICACION Y CONTROLES DE ACCESO</t>
  </si>
  <si>
    <t xml:space="preserve">ARMENIA, IBAGUÉ, IPIALES, LETICIA, PASTO, TAME, VILLAVICENCIO </t>
  </si>
  <si>
    <t xml:space="preserve">Adquisición servicios de seguridad para el control y operación de los sistemas de seguridad aeroportuaria y ayudas a la navegación aérea </t>
  </si>
  <si>
    <t>CONTRATACION DE SERVICIOS DE SEGURIDAD DESTINADOS A LA OPERACIÓN DE SEGURIDAD AEROPORTUARIA Y PROTECCION DE PERIMETROS EN AEROPUERTOS Y ESTACIONES AERONAUTICAS</t>
  </si>
  <si>
    <t>REGIONAL C/MARCA</t>
  </si>
  <si>
    <t>REGIONAL N. DE SANTANDER</t>
  </si>
  <si>
    <t>REGIONAL ATLANTICO</t>
  </si>
  <si>
    <t>REGIONAL ANTIOQUIA</t>
  </si>
  <si>
    <t>REGIONAL VALLE</t>
  </si>
  <si>
    <t>REGIONAL META</t>
  </si>
  <si>
    <t>ASIGNADO PARA REGIONALES (SIMULACROS)</t>
  </si>
  <si>
    <t>ADQUISICION DE INSUMOS Y ELEMENTOS PARA LA OPERACIÓN DE PUESTOS DE VIGILANCIA POLICIAL</t>
  </si>
  <si>
    <t>ASIGNACION PARA ADQUISICION DE SERVICIOS DE VIGILANCIA TECNICA PARA LAS ESTACIONES AERONAUTICAS</t>
  </si>
  <si>
    <t>VIGILANCIA ADMINISTRATIVA</t>
  </si>
  <si>
    <t>Mantenimiento y conservación de equipos de seguridad aeroportuaria</t>
  </si>
  <si>
    <t>MANTENIMIENTO DE CONTROL DE ACCESOS E INCENDIOS</t>
  </si>
  <si>
    <t>MANTENIMIENTO PREVENTIVO Y CORRECTIVO PARA LOS EQUIPOS DE RAYOS X Y DETECTORES DE METALES</t>
  </si>
  <si>
    <t>MANTENIMIENTO PREVENTIVO Y CORRECTIVO PARA LOS CIRCUITOS CERRADOS DE TELEVISION</t>
  </si>
  <si>
    <t xml:space="preserve">MANTENIMIENTO DE EQUIPOS DE IDENTIFICACION </t>
  </si>
  <si>
    <t xml:space="preserve">Adq equipos y servicios Medicos </t>
  </si>
  <si>
    <t>CONTRATACION MEDICOS</t>
  </si>
  <si>
    <t>REGIONAL CUNDINAMARCA</t>
  </si>
  <si>
    <t>RGIONAL N SANTANDER</t>
  </si>
  <si>
    <t>CONTRATACION ENFERMEROS</t>
  </si>
  <si>
    <t>CONTRATACION CONDUCTORES AMBULANCIAS</t>
  </si>
  <si>
    <t>ADQUISICION MEDICAMENTOS Y SUMINISTROS</t>
  </si>
  <si>
    <t>ADQUISICION EQUIPOS MEDICOS</t>
  </si>
  <si>
    <t>GASTOS OPERACIONALES</t>
  </si>
  <si>
    <t>MANTENIMIENTO EQUIPOS</t>
  </si>
  <si>
    <t>Mantenimiento y conservación de equipos servicios médicos</t>
  </si>
  <si>
    <t xml:space="preserve">Adquisición de equipos de protección y extinción de incendios, equipos de rescate, herramientas de rescate, equipos de proteccion personal, elementos de proteccion personal, equipos de comunicación, </t>
  </si>
  <si>
    <t xml:space="preserve">SAN JOSE GUAVIARE </t>
  </si>
  <si>
    <t xml:space="preserve">SAN VICENTE DEL CAGUÁN </t>
  </si>
  <si>
    <t xml:space="preserve">PROVIDENCIA </t>
  </si>
  <si>
    <t>Mantenimiento y conservación de máquinas y equipos         (agentes extintores, recarga extintores, combustibles y lubricantes, llantas, productos de limpieza, manto equipos, manto herramientas)</t>
  </si>
  <si>
    <t>Adecuación, mantenimiento y mejoramiento de la infraestructura ambiental</t>
  </si>
  <si>
    <t xml:space="preserve">Levantamiento de Información para Estudios Planes y Programas Ambientales </t>
  </si>
  <si>
    <t>SAN VICENTE CAGUAN</t>
  </si>
  <si>
    <t>CONDOTO</t>
  </si>
  <si>
    <t>PUERTO BERRIO</t>
  </si>
  <si>
    <t>AMALFI</t>
  </si>
  <si>
    <t>URRAO</t>
  </si>
  <si>
    <t>ARAUQUITA</t>
  </si>
  <si>
    <t>RIOACHA</t>
  </si>
  <si>
    <r>
      <t xml:space="preserve">ADQUISICIÓN, INSTALACIÓN Y PUESTA EN SERVICIO DE </t>
    </r>
    <r>
      <rPr>
        <sz val="9"/>
        <color indexed="53"/>
        <rFont val="Arial"/>
        <family val="2"/>
      </rPr>
      <t>SISTEMAS Y EQUIPOS DE VIGILANCIA AERONAUTICA (SIMULADOR ATC)</t>
    </r>
    <r>
      <rPr>
        <sz val="9"/>
        <rFont val="Arial"/>
        <family val="2"/>
      </rPr>
      <t xml:space="preserve">, PARA EL CUMPLIMIENTO DE LAS FUNCIONES DE SEGURIDAD AEREA APLICABLES EN EL </t>
    </r>
    <r>
      <rPr>
        <sz val="9"/>
        <color indexed="53"/>
        <rFont val="Arial"/>
        <family val="2"/>
      </rPr>
      <t xml:space="preserve">AEROPUERTO EL DORADO </t>
    </r>
    <r>
      <rPr>
        <sz val="9"/>
        <rFont val="Arial"/>
        <family val="2"/>
      </rPr>
      <t>DE BOGOTA.</t>
    </r>
  </si>
  <si>
    <r>
      <t>ADQUISICIÓN, INSTALACIÓN Y PUESTA EN SERVICIO DE: 1)</t>
    </r>
    <r>
      <rPr>
        <sz val="9"/>
        <color indexed="53"/>
        <rFont val="Arial"/>
        <family val="2"/>
      </rPr>
      <t xml:space="preserve"> RADIOENLACES DIGITALES</t>
    </r>
    <r>
      <rPr>
        <sz val="9"/>
        <color indexed="17"/>
        <rFont val="Arial"/>
        <family val="2"/>
      </rPr>
      <t xml:space="preserve"> </t>
    </r>
    <r>
      <rPr>
        <sz val="9"/>
        <rFont val="Arial"/>
        <family val="2"/>
      </rPr>
      <t xml:space="preserve">(COMPRENDE REUBICACIÓN DE ENLACE) PARA INTEGRAR LOS SERVICIOS AERONÁUTICOS Y CORPORATIVOS E INTERCONECTAR </t>
    </r>
    <r>
      <rPr>
        <sz val="9"/>
        <color indexed="53"/>
        <rFont val="Arial"/>
        <family val="2"/>
      </rPr>
      <t>EL CGAC CON ESTACIONES Y AEROPUERTOS DEL PAÍS</t>
    </r>
    <r>
      <rPr>
        <sz val="9"/>
        <rFont val="Arial"/>
        <family val="2"/>
      </rPr>
      <t>. 2)</t>
    </r>
    <r>
      <rPr>
        <sz val="9"/>
        <color indexed="53"/>
        <rFont val="Arial"/>
        <family val="2"/>
      </rPr>
      <t xml:space="preserve"> MULTIPLEXORES PARA TRANSPORTE DE SERVICIOS AERONÁUTICOS</t>
    </r>
    <r>
      <rPr>
        <sz val="9"/>
        <rFont val="Arial"/>
        <family val="2"/>
      </rPr>
      <t xml:space="preserve"> Y CORPORATIVOS E</t>
    </r>
    <r>
      <rPr>
        <sz val="9"/>
        <color indexed="53"/>
        <rFont val="Arial"/>
        <family val="2"/>
      </rPr>
      <t>N AEROPUERTOS Y ESTACIONES A TRAVÉS DE LA RED NACIONAL DE COMUNICACIONES TERRESTRES Y SATELITAL</t>
    </r>
    <r>
      <rPr>
        <sz val="9"/>
        <rFont val="Arial"/>
        <family val="2"/>
      </rPr>
      <t>ES PROPIOS DE LA ENTIDAD</t>
    </r>
  </si>
  <si>
    <r>
      <t xml:space="preserve">ADQUISICIÓN, INSTALACIÓN Y PUESTA EN FUNCIONAMIENTO DE </t>
    </r>
    <r>
      <rPr>
        <sz val="9"/>
        <color indexed="53"/>
        <rFont val="Arial"/>
        <family val="2"/>
      </rPr>
      <t>SISTEMAS Y EQUIPOS CNS-ATM PARA EL AEROPUERTO INTERNACIONAL EL DORADO.</t>
    </r>
  </si>
  <si>
    <r>
      <t xml:space="preserve">ADQUISICION, INSTALACIÓN Y PUESTA EN FUNCIONAMIENTO DE SISTEMAS EQUIPOS DE COMUNICACIONES PLANTAS TELEFONICAS </t>
    </r>
    <r>
      <rPr>
        <sz val="9"/>
        <color indexed="53"/>
        <rFont val="Arial"/>
        <family val="2"/>
      </rPr>
      <t>ATC VOz SOBRE IP I ATS) PARA EL AEROPUERTO EL DORADO</t>
    </r>
    <r>
      <rPr>
        <sz val="9"/>
        <rFont val="Arial"/>
        <family val="2"/>
      </rPr>
      <t xml:space="preserve"> DE BOGOTA.</t>
    </r>
  </si>
  <si>
    <r>
      <t>ADQUISICIÓN, INSTALACIÓN Y PUESTA EN SERVICIO DE SISTEMAS E</t>
    </r>
    <r>
      <rPr>
        <sz val="9"/>
        <color indexed="53"/>
        <rFont val="Arial"/>
        <family val="2"/>
      </rPr>
      <t>QUIPOS DE COMUNICACIONES(AIM)</t>
    </r>
  </si>
  <si>
    <r>
      <t xml:space="preserve">Prestación de </t>
    </r>
    <r>
      <rPr>
        <sz val="10"/>
        <color indexed="53"/>
        <rFont val="Arial"/>
        <family val="2"/>
      </rPr>
      <t xml:space="preserve">servicios de canales de </t>
    </r>
    <r>
      <rPr>
        <sz val="10"/>
        <rFont val="Arial"/>
        <family val="2"/>
      </rPr>
      <t>comunicaciones por microondas, fibra óptica o satelital</t>
    </r>
  </si>
  <si>
    <t xml:space="preserve">Bienes y Rentas en el SIGEP </t>
  </si>
  <si>
    <t xml:space="preserve"># de servidores con la información
actualizada 
</t>
  </si>
  <si>
    <t xml:space="preserve"># de servidores con la información actualizada vs. # planta provista  </t>
  </si>
  <si>
    <t>SECRETARIA GENERAL - DIRECCIÓN TALENTO HUMANO</t>
  </si>
  <si>
    <t>DICIEMBRE 2018 - MEDIDA NO TIENE</t>
  </si>
  <si>
    <t xml:space="preserve"> Continuar con las jornadas de capacitación virtual en las Direcciones Regionales.</t>
  </si>
  <si>
    <t xml:space="preserve">Prestar asesoría a los servidores públicos que tengan dudas sobre el diligenciamiento de la información. </t>
  </si>
  <si>
    <t xml:space="preserve">Realizar campañas de comunicación a través de los medios de la Entidad, como la Intranet y  el correo electrónico. </t>
  </si>
  <si>
    <t xml:space="preserve">Actualización de la hoja de vida en el SIGEP </t>
  </si>
  <si>
    <t xml:space="preserve"># de servidores con la información actualizada vs. # planta provista 
</t>
  </si>
  <si>
    <t xml:space="preserve">Verificar y validar la información suministrada 
por los servidores públicos 
</t>
  </si>
  <si>
    <t xml:space="preserve">Provisión transitoria por Encargo o Nombramiento </t>
  </si>
  <si>
    <t xml:space="preserve"># de nombramientos efectuados 
</t>
  </si>
  <si>
    <t xml:space="preserve"># nombramientos vs. vacantes definitivas 
</t>
  </si>
  <si>
    <t>DICIEMBRE 2018 - MEDIDA FALTA</t>
  </si>
  <si>
    <t xml:space="preserve">Elaboración de actos administrativos, sujeto a la 
disponibilidad presupuestal 
</t>
  </si>
  <si>
    <t xml:space="preserve">Registro público de carrera administrativa </t>
  </si>
  <si>
    <t xml:space="preserve"># de solicitudes de  incorporación o actualización de registro público 
</t>
  </si>
  <si>
    <t xml:space="preserve"># de solicitudes de incorporación o actualización de registro público  vs. # de controladores y bomberos de carrera administrativa
</t>
  </si>
  <si>
    <t xml:space="preserve">Estructurar los expedientes de historia laboral de los servidores que ostentan derechos de carrera administrativa en la Entidad. 
</t>
  </si>
  <si>
    <t xml:space="preserve">Actualización de Manual de Funciones y Competencias Laborales 
</t>
  </si>
  <si>
    <t xml:space="preserve">Manuales de Funciones y Competencias Laborales actualizados  
</t>
  </si>
  <si>
    <t xml:space="preserve">Elaboración de acto administrativo </t>
  </si>
  <si>
    <t xml:space="preserve">Depuración de la presunta deuda con Colpensiones </t>
  </si>
  <si>
    <t>DICIEMBRE 2018 - MEDIDA NO TIENE - NO TIENE ACTIVIDADES</t>
  </si>
  <si>
    <t xml:space="preserve">Intervención integral en Clima Laboral y Factores Psicosociales.  </t>
  </si>
  <si>
    <t xml:space="preserve">75% de Aeropuertos de la Entidad </t>
  </si>
  <si>
    <t xml:space="preserve">Aeropuertos con cobertura de intervención en clima laboral y psicosocial según resultados de medición.
</t>
  </si>
  <si>
    <t xml:space="preserve"># aeropuertos con intervenciones / # total de aeropuertos
</t>
  </si>
  <si>
    <t>DICIEMBRE 2018 - MEDIDA NO TIENE - DEBE MENCIONARA CUANTOS AEROPUERTOS O CUALES</t>
  </si>
  <si>
    <t xml:space="preserve">Preparar consolidado de  aeropuertos a intervenir según resultados de diagnóstico de psicosocial y clima laboral
</t>
  </si>
  <si>
    <t>Gestionar proceso de contratación para atender intervenciones concretas en psicosocial y clima laboral</t>
  </si>
  <si>
    <t xml:space="preserve">Seguimiento por aeropuerto de las  acciones concretas de intervención </t>
  </si>
  <si>
    <t>A partir del 1 Junio hasta el 31 diciembre 2018</t>
  </si>
  <si>
    <t xml:space="preserve">Incentivar e incrementar la participación de los servidores públicos 
</t>
  </si>
  <si>
    <t># de participantes en las actividades en Nivel Central y cada una de las direcciones regionales</t>
  </si>
  <si>
    <t xml:space="preserve"># de participantes / # total de servidores públicos de Nivel Central, direcciones regionales 
</t>
  </si>
  <si>
    <t xml:space="preserve">Invitar oportunamente a los servidores públicos a las actividades programadas por el Grupo de Bienestar Social </t>
  </si>
  <si>
    <t xml:space="preserve">Promocionar con anticipación las actividades programadas </t>
  </si>
  <si>
    <t xml:space="preserve">Llevar el registro de asistencia de las actividades </t>
  </si>
  <si>
    <t xml:space="preserve">Realizar seguimiento y control del Plan de Bienestar de las Direcciones Regionales </t>
  </si>
  <si>
    <t xml:space="preserve">Avanzar en el cumplimiento de las políticas de Gobierno en Línea
</t>
  </si>
  <si>
    <t xml:space="preserve">Cumplimiento en las políticas de Gobierno en Línea
</t>
  </si>
  <si>
    <t xml:space="preserve">(# de actividades realizadas/# total de actividades de la política GEL) * 100
</t>
  </si>
  <si>
    <t>SECRETARIA GENERAL- DESPACHO</t>
  </si>
  <si>
    <t xml:space="preserve">Elaborar y socializar circular especificando tareas y responsables de las actividades contempladas en la política de GEL
</t>
  </si>
  <si>
    <t>Seguimientos trimestrales de la matriz de GEL</t>
  </si>
  <si>
    <t>Presentar los avances e inconvenientes del Cumplimiento del Compromiso en los Comités Directivos</t>
  </si>
  <si>
    <t xml:space="preserve">1ra semana de febrero de 2018
</t>
  </si>
  <si>
    <t xml:space="preserve">Abril, julio y Octubre de 2018 y Enero de 2019
</t>
  </si>
  <si>
    <t xml:space="preserve">Construir y socializar la política anticorrupción de la Entidad
</t>
  </si>
  <si>
    <t xml:space="preserve">Documento publicado y socializado de Política Anticorrupción.
</t>
  </si>
  <si>
    <t>Un documento de política de anticorrupción publicado y socializado</t>
  </si>
  <si>
    <t>Documento realizado/ Documento de Política Pública</t>
  </si>
  <si>
    <t>SECRETARIA GENERAL - DESPACHO</t>
  </si>
  <si>
    <t xml:space="preserve">31 AGOSTO 2018 -  Anual vs Documento
</t>
  </si>
  <si>
    <t>Conformar grupo de trabajo interdisciplinario</t>
  </si>
  <si>
    <t>Realizar plan de acción y socializarlo en la entidad</t>
  </si>
  <si>
    <t xml:space="preserve">Realizar mesas de trabajo </t>
  </si>
  <si>
    <t>Retroalimentación del borrador del documento por parte de los interesados (funcionarios y ciudadanía en general)</t>
  </si>
  <si>
    <t>Publicación y socialización documento final</t>
  </si>
  <si>
    <t xml:space="preserve">Enero, febrero, marzo, abril, mayo de 2018
</t>
  </si>
  <si>
    <t>Julio y Agosto de 2018</t>
  </si>
  <si>
    <t>SECRETARÍA GENERAL DESPACHO</t>
  </si>
  <si>
    <t>SECRETARIA SEGURIDAD OPERACIÓNALES – PEI</t>
  </si>
  <si>
    <t>SECRETARIA SISTEMAS OPERACIONALES – PEI</t>
  </si>
  <si>
    <t>GRUPO PLANIFICACIÓN AEROPORTUARIA  - SECRETARIA SEGURIDAD OPERACIONAL PEI</t>
  </si>
  <si>
    <t>SG DIRECCIÓN INFORMÁTICA</t>
  </si>
  <si>
    <t>GRUPO ATENCIÓN AL CIUDADANO</t>
  </si>
  <si>
    <t>PROGRAMA GESTION DOCUMENTAL</t>
  </si>
  <si>
    <t>12 DE 20</t>
  </si>
  <si>
    <t xml:space="preserve">Evaluar la calidad de los servicios y productos ofrecidos por la Entidad
</t>
  </si>
  <si>
    <t xml:space="preserve">Medición Satisfacción al Cliente
</t>
  </si>
  <si>
    <t xml:space="preserve">Cómo se calcula el Indicador: Mediante una encuesta.
</t>
  </si>
  <si>
    <t>SECRETARIA GENERAL - ATENCION AL CIUDADANO</t>
  </si>
  <si>
    <t>Marzo 2018 - No tiene medida</t>
  </si>
  <si>
    <t>Se elaborará una encuesta teniendo en cuenta el Grupo a Evaluar</t>
  </si>
  <si>
    <t xml:space="preserve">La reducción de tiempos al contestar las PQRSD
</t>
  </si>
  <si>
    <t>Reducción de tiempos</t>
  </si>
  <si>
    <t>Cómo se calcula el Indicador: Mediante el aplicativo ADI se toma información de las PQRSD</t>
  </si>
  <si>
    <t xml:space="preserve">SECRETARIA GENERAL - ATENCION AL CIUDADANO </t>
  </si>
  <si>
    <t xml:space="preserve">Mediante el Aplicativo ADI se toma la información y se inicia el análisis de las PQRSD
</t>
  </si>
  <si>
    <t xml:space="preserve">La creación y la implementacion de la Politica de Gestion Documental
</t>
  </si>
  <si>
    <t>Cumplimiento al Programa de Gestión Documental</t>
  </si>
  <si>
    <t>Mediante la creación e Implementación de nuevos procedimientos archivísticos</t>
  </si>
  <si>
    <t xml:space="preserve">Poner en practica la utilización de los instrumentos archivísticas </t>
  </si>
  <si>
    <t>Creación del comité de archivo</t>
  </si>
  <si>
    <t>SECRETARIA GENERAL - ARCHIVO GENERAL</t>
  </si>
  <si>
    <t xml:space="preserve">Mediante los avances 
</t>
  </si>
  <si>
    <t xml:space="preserve">Adquisición, implementación o actualización de soluciones informáticas y/o  sistemas de información programados
</t>
  </si>
  <si>
    <t>SECRETARIA GENERAL - DIRECCION INFORMATICA</t>
  </si>
  <si>
    <t>Diciembre 2018 - trimestral Vs Unidad</t>
  </si>
  <si>
    <t xml:space="preserve">Adquirir, implementar y colocar en funcionamiento de aplicaciones auxiliares o complementarias para apoyar los procesos financieros y administrativos no contemplados en el sistema SIIF Nación . 
</t>
  </si>
  <si>
    <t xml:space="preserve">Adquirir, implementar y colocar en funcionamiento soluciones informáticas para la gestión y tratamiento integral de las PQRD de la Entidad.
</t>
  </si>
  <si>
    <t xml:space="preserve">Migrar los servicios implementados en la plataforma de Google Earth Enterprise Server y Fusión a la plataforma ArcGIS. ****
</t>
  </si>
  <si>
    <t xml:space="preserve">Análisis, diseño e implementación de solución tecnológica para el Sistema de  Gestión Documental y modelo de colaboración en Intranet.
 Fase I  (Trámite vigencia futura II , Fase I: .Análisis. Vigencia 2018)
</t>
  </si>
  <si>
    <t xml:space="preserve">Nombre del indicador: Numero de proyectos de Estrategia y Gobierno de TI realizados.
</t>
  </si>
  <si>
    <t xml:space="preserve">Como se calcula el indicador: Numero de proyectos de Estrategia y Gobierno de TI realizados conforme al alcance programado para la vigencia.
</t>
  </si>
  <si>
    <t xml:space="preserve">Diciembre 2018 Semestral Vs Unidad </t>
  </si>
  <si>
    <t xml:space="preserve">Implementar la estructura organizacional de TI sugerida por el proyecto de diseño y definición de Arquitectura Empresarial para la Entidad.
</t>
  </si>
  <si>
    <t xml:space="preserve">Implementar el modelo de gestión de TI basado en el proceso de  Arquitectura Empresarial diseñado para la Entidad. 
 Fase I.  (Contexto Normativo – Habilitación del Proceso de AE para la Entidad)
</t>
  </si>
  <si>
    <t>Aumentar el nivel de actualización y cobertura de la infraestructura de TI y de los servicios tecnológicos en la Entidad.</t>
  </si>
  <si>
    <t>Número de proyectos de adquisición de infraestructura de TI ejecutados.</t>
  </si>
  <si>
    <t>Corresponde a la cantidad de proyectos ejecutados conforme al alcance programado para la vigencia</t>
  </si>
  <si>
    <t>Renovar los servidores físicos  de Bases de Datos Oracle de los diferentes sistemas de información institucionales</t>
  </si>
  <si>
    <t>Ampliar la cobertura y reducir los niveles de obsolescencia de los equipos de cómputo y de procesamiento de datos a Nivel Nacional</t>
  </si>
  <si>
    <t>Implementar cableado estructurado  de mayor capacidad para los aeropuertos de Yopal, Leticia, Puerto Inírida, Mariquita, Valledupar, Barrancabermeja, Santa Marta, Bucaramanga y Bogotá</t>
  </si>
  <si>
    <t>Adquirir, instalar y colocar en funcionamiento Equipos y Software para optimizar y administrar la Red de Datos</t>
  </si>
  <si>
    <t>Adquirir los derechos de uso de los servicios y herramientas office de colaboración empresarial; licenciamiento de software específico y de aplicación</t>
  </si>
  <si>
    <t>Implementar servicios de canales de comunicaciones e internet para acceder a los sistemas  y servicios de información institucionales. (Periodos 2018 a 2021)</t>
  </si>
  <si>
    <t>Implementar los servicios de impresión controlada y administrada a más aeropuertos a nivel nacional (Periodos 2018 a 2021)</t>
  </si>
  <si>
    <t xml:space="preserve">Sistema de Gestión de Seguridad de la Información – SGSI implementado en un proceso misional y Sensibilizaciones en Seguridad de la Información ejecutadas conforme a lo programado en la Estrategia de Sensibilización 2018.
</t>
  </si>
  <si>
    <t xml:space="preserve">Corresponde a la implementación y la sensibilización realizadas conforme al alcance programado.
</t>
  </si>
  <si>
    <t>Diciembre 208 Semestral Vs Unidad</t>
  </si>
  <si>
    <t xml:space="preserve"> Aumentar los niveles de Seguridad de la Información en la Entidad.
</t>
  </si>
  <si>
    <t xml:space="preserve">Implementar el Sistema de Gestión de Seguridad de la información - SGSI en la Entidad y su implementación para el proceso misional GSAN-1-3-001 GESTIÓN DE TRÁNSITO AÉREO. </t>
  </si>
  <si>
    <t>Ejecutar el Plan de Sensibilización en Seguridad de la Información 2018 de acuerdo a lo programado</t>
  </si>
  <si>
    <t xml:space="preserve">Asegurar el soporte y mantenimiento a los componentes tecnológicos 
</t>
  </si>
  <si>
    <t xml:space="preserve">Número de procesos de soporte y mantenimiento ejecutados
</t>
  </si>
  <si>
    <t xml:space="preserve">Corresponde a la cantidad de procesos ejecutados conforme a lo programado.
</t>
  </si>
  <si>
    <t>Diciembre 2018  Semestral Vs Unidad</t>
  </si>
  <si>
    <t>Proceso por vigencias futuras para mesa de servicios</t>
  </si>
  <si>
    <t>Proceso de soporte a software Oracle</t>
  </si>
  <si>
    <t>Proceso soporte a software Microsoft</t>
  </si>
  <si>
    <t>Procesos de soporte y mantenimiento a sistemas de información</t>
  </si>
  <si>
    <t>Proceso soporte a componentes de infraestructura</t>
  </si>
  <si>
    <t xml:space="preserve">Suministrar soluciones informáticas y sistemas de información adecuados para la ejecución de procesos de la Entidad en cumplimiento de sus objetivos.
</t>
  </si>
  <si>
    <t xml:space="preserve">Ejecutar estrategias, esquemas de gobernabilidad y modelos de gestión de TI, alineados con las estrategias de la Entidad a fin ejecutar los planes institucionales y apoyar el cumplimiento de los objetivos del sector.
</t>
  </si>
  <si>
    <t>3175171068 Mauricio Rodriguez</t>
  </si>
  <si>
    <t>Se llamo al celular 22 nov 2017</t>
  </si>
  <si>
    <t>3449 angela colorado</t>
  </si>
  <si>
    <t>se ha estado llamando .</t>
  </si>
  <si>
    <t>2202 Carmen Rosa 2224 Luz Marina Moreno</t>
  </si>
  <si>
    <t>3601 Martha Seidel</t>
  </si>
  <si>
    <t>3385 Hugo Moreno 3438 Nelly Beltran</t>
  </si>
  <si>
    <t>CORREO</t>
  </si>
  <si>
    <t xml:space="preserve">Alcanzar el cumplimiento del Programa de Inspección, Vigilancia y Control a los Proveedores de Servicios.
</t>
  </si>
  <si>
    <t xml:space="preserve">80% Cumplimiento del Programa de Inspección, vigilancia y control a los Proveedores de Servicios
</t>
  </si>
  <si>
    <t xml:space="preserve">:   Inspecciones ejecutadas / Inspecciones programadas *100 
</t>
  </si>
  <si>
    <t xml:space="preserve">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
</t>
  </si>
  <si>
    <t xml:space="preserve">Ejecutar las inspecciones y presentar informe
</t>
  </si>
  <si>
    <t>Hacer seguimiento a los reportes o planes de acción</t>
  </si>
  <si>
    <t>SECRETARIA SEGURIDAD OPERACIONAL</t>
  </si>
  <si>
    <t xml:space="preserve">Capacitaciones ejecutadas / Capacitaciones programadas *100 </t>
  </si>
  <si>
    <t>Elaborar una programación anual de las capacitaciones.</t>
  </si>
  <si>
    <t>Actualización y mejora del Programa PIESO vigente.</t>
  </si>
  <si>
    <t>Ejecutar la capacitaciones y  presentar un informe de ejecución.</t>
  </si>
  <si>
    <t xml:space="preserve">Alcanzar el cumplimiento del Programa de Inspección, Vigilancia y Control a las empresas aeronáuticas y personal aeronáutico
</t>
  </si>
  <si>
    <t xml:space="preserve">80% Cumplimiento del Programa de Inspección, vigilancia y control a las empresas aeronáuticas y personal aeronáutico
</t>
  </si>
  <si>
    <t xml:space="preserve">Inspecciones ejecutadas / Inspecciones programadas *100 
</t>
  </si>
  <si>
    <t>Elaborar una programación anual a las empresas aeronáuticas,  productos aeronáuticos y personal aeronáutico a inspeccionar, teniendo en cuenta el análisis de riesgo del año 2017.</t>
  </si>
  <si>
    <t>Ejecutar las inspecciones y presentar informe</t>
  </si>
  <si>
    <t xml:space="preserve">Actualizar y fortalecer la reglamentación para la vigilancia de la Seguridad Operacional y de la Aviación Civil.
</t>
  </si>
  <si>
    <t>Cumplimiento entrega Proyectos reglamentación Normas (RAC 139,153, 154, 155, 160, 200) al Grupo Normas Aeronáuticas de la Oficina de Transporte Aéreo</t>
  </si>
  <si>
    <t>100% Cumplimiento entrega proyectos de reglamentación al Grupo Normas Aeronáuticas de la Oficina de Transporte Aéreo.</t>
  </si>
  <si>
    <t>Definir cronogramas de trabajo y asignar líder del proyecto de reglamentación</t>
  </si>
  <si>
    <t xml:space="preserve">Generar proyecto resolución </t>
  </si>
  <si>
    <t>Entrega de proyecto resolución al Grupo de Normas Aeronáuticas de la Oficina de Transporte Aéreo</t>
  </si>
  <si>
    <t>Seguimiento a la actualización del reglamento con el Grupo de Normas Aeronáutica de la Oficina de Transporte Aéreo</t>
  </si>
  <si>
    <t xml:space="preserve">Lograr la certificación de 2 aeródromos internacionales
</t>
  </si>
  <si>
    <t xml:space="preserve">Numero de aeropuertos certificados
</t>
  </si>
  <si>
    <t xml:space="preserve"># aeropuertos que cumplan con el Reglamento Aeronáutico Colombiano 14.  / # aeropuertos propuestos
</t>
  </si>
  <si>
    <t xml:space="preserve">DICIEMBRE 2018 TRIMESTRAL </t>
  </si>
  <si>
    <t>Realizar visita de pre-inspección para evaluar el cumplimiento a los Reglamentos Aeronáuticos de Colombia RAC- 14</t>
  </si>
  <si>
    <t>Seguimiento a la implementación de las fases del proceso de certificación en los aeródromos propuestos</t>
  </si>
  <si>
    <t>Seguimiento al cronograma de desarrollo de obras en los aeropuertos propuestos</t>
  </si>
  <si>
    <t>Realizar visita de Inspección para evaluar el cumplimiento a los Reglamentos Aeronáuticos de Colombia  RAC-14</t>
  </si>
  <si>
    <t>Elaborar el certificado de operación a los aeropuertos propuestos</t>
  </si>
  <si>
    <t xml:space="preserve">Alcanzar el cumplimiento del Programa de Instrucción y entrenamiento de acuerdo a los lineamientos del PIESO
</t>
  </si>
  <si>
    <t xml:space="preserve">80% Cumplimiento del Programa de Inspección, vigilancia y control  a los aeródromos, aeropuertos, servicios aeroportuarios, servicios ANS, facilitación y AVSEC
</t>
  </si>
  <si>
    <t>Elaborar una programación anual a los aeródromos, aeropuertos, servicios aeroportuarios, servicios ANS, facilitación y AVSEC a inspeccionar, teniendo en cuenta el análisis de riesgo del año 2017.
.</t>
  </si>
  <si>
    <t>Avance seguimientos programados con Dir Regionales</t>
  </si>
  <si>
    <t>Actividades cumplidas*100) / Actividades programadas</t>
  </si>
  <si>
    <t>Políticas MiPG Decreto 1499 Sept 2017</t>
  </si>
  <si>
    <t>Realización de Videoconferencias periódicas</t>
  </si>
  <si>
    <t>Medición indicadores y seguimiento</t>
  </si>
  <si>
    <t>Revistas aeropuertos</t>
  </si>
  <si>
    <t>Ajustes plan de acción sobre control de regionales</t>
  </si>
  <si>
    <t>Estructuración y reformulación de los Proyectos de Inversión (Existen 33 proyectos)</t>
  </si>
  <si>
    <t>Proyectos incorporados en la MGA</t>
  </si>
  <si>
    <t>15 (Por definirse por parte de la Alta Dirección)</t>
  </si>
  <si>
    <t>Si es por programa y/o por aeropuerto</t>
  </si>
  <si>
    <t>Definición del alcance de inicio del proyecto como tal</t>
  </si>
  <si>
    <t>Plana de trabajo con cronograma</t>
  </si>
  <si>
    <t>Incorporacion de la información en la MGA.</t>
  </si>
  <si>
    <t xml:space="preserve">15% de reducción en los días establecidos en las normas para cada clase de trámite
</t>
  </si>
  <si>
    <t xml:space="preserve">Actualizar y Divulgar los mapas  de riesgos :
1. Corrupción y Gestión.
</t>
  </si>
  <si>
    <t>Desarrollar y hacer seguimiento mensual a las actividades del plan de trabajo para la certificación ISO 9001-2015</t>
  </si>
  <si>
    <t>• Implementar y capacitar en la nueva versión de ISOLUCION - Julio  a diciembre de  2018</t>
  </si>
  <si>
    <t>Dos documentos</t>
  </si>
  <si>
    <t>Mapa de riesgos de corrupción actualizada y publicado.</t>
  </si>
  <si>
    <t>Mapa riesgos de gestión actualizado y publicado.</t>
  </si>
  <si>
    <t>Cronograma de Actividades</t>
  </si>
  <si>
    <t xml:space="preserve">Avance en el cumplimiento de las actividades programadas </t>
  </si>
  <si>
    <t>Informe final de resultados</t>
  </si>
  <si>
    <t xml:space="preserve">Definiir Cronogorama </t>
  </si>
  <si>
    <t>31/12/0218</t>
  </si>
  <si>
    <t>Mensual</t>
  </si>
  <si>
    <t>Informes  de avance</t>
  </si>
  <si>
    <t xml:space="preserve">Definiir cronograma </t>
  </si>
  <si>
    <t xml:space="preserve">Implementación mesas de trabajo </t>
  </si>
  <si>
    <t>Mensual a partir de Junio 2018</t>
  </si>
  <si>
    <t xml:space="preserve">Establecer y controlar en tiempo real las fechas de pagos de las obligaciones y el estado de los procesos.
.
</t>
  </si>
  <si>
    <t xml:space="preserve"># De sentencias o conciliaciones en contra de la Entidad / Numero de Resoluciones Cumplimiento fallo hasta la remisión de los documentos a la Dirección Financiera con el fin de efectuar el pago.  
</t>
  </si>
  <si>
    <t>Mantener Actualizada la Matriz de Pagos de Sentencias y Conciliaciones para la vigencia 2018.</t>
  </si>
  <si>
    <t xml:space="preserve">Realizar reuniones preliminares con los apoderados con el fin de cumplir con lo establecido en el cronograma.
</t>
  </si>
  <si>
    <t xml:space="preserve">Dar a conocer tanto interna como externamente la actualización de la normatividad, conceptos, balance cobro coactivo e información sobre procesos judiciales vigentes a través del Boletín Jurídico. 
</t>
  </si>
  <si>
    <t>Boletin Juridico Emtiido</t>
  </si>
  <si>
    <t>Publicación Semestral del Boletín Jurídico, a través de la Pagina Web de la Entidad.</t>
  </si>
  <si>
    <t xml:space="preserve">Por medio de Información de Interés dar a conocer de qué se trata y qué aspectos tiene el Boletín jurídico.
</t>
  </si>
  <si>
    <t>expedir  Acto Administrativo (Resoluciones de Saneamiento Contable -Remisibilidad)</t>
  </si>
  <si>
    <t xml:space="preserve">Revisión y relación de los procesos de los cuales se hace inviable su cobro.
</t>
  </si>
  <si>
    <t xml:space="preserve">Elaboración de Fichas Técnicas que se evalúan en el Comité de Sostenibilidad Contable.
</t>
  </si>
  <si>
    <t xml:space="preserve">Elaboración de Acto Administrativo en el cuál se declara la depuración y remisbilidad de Registros Contables de acuerdo con lo recomendado por el Comité Técnico de Sostenibilidad Contable.
</t>
  </si>
  <si>
    <t>Definiciónde cuales son las metas del PNA</t>
  </si>
  <si>
    <t>Elaborar instrumento para la medicion del PNA considerando la funcionalidad de las capacidades de lo servicios</t>
  </si>
  <si>
    <t>Seguimiento al cumplimiento de las metas del PNA.</t>
  </si>
  <si>
    <t xml:space="preserve">
Cumplir con la meta DNP de intervenir 48 aeropuertos durante el cuatrienio 2015 – 2018, para lo cual se proyectaron:
Intervenir 17 aeropuertos con obras de construcción, durante el cuatrienio 2015 – 2018
</t>
  </si>
  <si>
    <t>AFLUENCIA DE TRANSITO AEREO Y CAPACIDAD - ATFCM
IMPLEMENTACION CONCEPTO OPERACIONAL ATFCM PARA COLOMBIA</t>
  </si>
  <si>
    <t>INFORMACIÓN AERONÁUTICA AIM
Transición del AIS al AIM</t>
  </si>
  <si>
    <t>INFORMACIÓN AERONÁUTICA AIM
Automatizar la Gestión de Plan de Vuelo - Migración al SWIM</t>
  </si>
  <si>
    <t xml:space="preserve">Implementación AIDC y A-SMGCSImplementar el Sistema AIDC y A-SMGCS
(Gestión de los Servicios de Tránsito Aéreo – ATS)
</t>
  </si>
  <si>
    <t xml:space="preserve">
Optimizar los procedimientos de aproximación, guía vertical incluida 
(Gestión y organización del espacio aéreo – ASM) </t>
  </si>
  <si>
    <t xml:space="preserve"> 
Mayor flexibilidad y eficiencia en los perfiles de descenso
(Gestión y organización del espacio aéreo – ASM)</t>
  </si>
  <si>
    <t xml:space="preserve">
Mayor flexibilidad y eficiencia en los perfiles de ascenso
(Gestión y organización del espacio aéreo – ASM )</t>
  </si>
  <si>
    <t xml:space="preserve">
Mejores operaciones mediante trayectorias en ruta mejoradas
(Gestión y organización del espacio aéreo – ASM)</t>
  </si>
  <si>
    <t xml:space="preserve">
EFICIENCIA DE OPERACIÓN EN TIEMPOS 
- Mejorar la eficiencia e incrementar la capacidad de los servicios a la navegación aérea y de los servicios aeroportuarios.
(AFLUENCIA DE TRANSITO AEREO Y CAPACIDAD - ATFCM)
</t>
  </si>
  <si>
    <t xml:space="preserve">
POSICION OCS – PDC SCORE
(AFLUENCIA DE TRANSITO AEREO Y CAPACIDAD - ATFCM)</t>
  </si>
  <si>
    <r>
      <t xml:space="preserve">Consolidar </t>
    </r>
    <r>
      <rPr>
        <sz val="11"/>
        <color indexed="8"/>
        <rFont val="Arial Narrow"/>
        <family val="2"/>
      </rPr>
      <t>los procedimientos que hacen parte del Manual de Aeródromo</t>
    </r>
  </si>
  <si>
    <r>
      <t xml:space="preserve">Comprobar </t>
    </r>
    <r>
      <rPr>
        <sz val="11"/>
        <color indexed="10"/>
        <rFont val="Arial Narrow"/>
        <family val="2"/>
      </rPr>
      <t xml:space="preserve">la implementación de los procedimientos en los aeródromos </t>
    </r>
    <r>
      <rPr>
        <sz val="11"/>
        <color indexed="8"/>
        <rFont val="Arial Narrow"/>
        <family val="2"/>
      </rPr>
      <t>propuestos</t>
    </r>
  </si>
  <si>
    <r>
      <t xml:space="preserve">Cumplimiento del estándar de </t>
    </r>
    <r>
      <rPr>
        <u/>
        <sz val="11"/>
        <color indexed="10"/>
        <rFont val="Arial Narrow"/>
        <family val="2"/>
      </rPr>
      <t>infraestructura</t>
    </r>
    <r>
      <rPr>
        <sz val="11"/>
        <color indexed="10"/>
        <rFont val="Arial Narrow"/>
        <family val="2"/>
      </rPr>
      <t xml:space="preserve"> de los servicios médicos</t>
    </r>
  </si>
  <si>
    <r>
      <t xml:space="preserve">Estudiar de modo preliminar </t>
    </r>
    <r>
      <rPr>
        <sz val="11"/>
        <color indexed="10"/>
        <rFont val="Arial Narrow"/>
        <family val="2"/>
      </rPr>
      <t>la Influencia del ruido en la productividad del ganado, en materia de insumos: leche, carne y reproducción</t>
    </r>
    <r>
      <rPr>
        <sz val="11"/>
        <color indexed="8"/>
        <rFont val="Arial Narrow"/>
        <family val="2"/>
      </rPr>
      <t>.</t>
    </r>
  </si>
  <si>
    <t>Cumplimiento Meta PNA</t>
  </si>
  <si>
    <r>
      <rPr>
        <sz val="10"/>
        <color indexed="10"/>
        <rFont val="Arial"/>
        <family val="2"/>
      </rPr>
      <t>Certificación de Aeropuertos internacionales</t>
    </r>
    <r>
      <rPr>
        <u/>
        <sz val="10"/>
        <color indexed="10"/>
        <rFont val="Arial"/>
        <family val="2"/>
      </rPr>
      <t xml:space="preserve"> de Bucaramanga y Cúcuta sean certificados</t>
    </r>
    <r>
      <rPr>
        <sz val="10"/>
        <rFont val="Arial"/>
        <family val="2"/>
      </rPr>
      <t xml:space="preserve">
</t>
    </r>
  </si>
  <si>
    <t xml:space="preserve">Aeropuertos certificados </t>
  </si>
  <si>
    <r>
      <t>Habilitación (Certificación) del 50% de los servicios médicos de los aeropuertos explotados de forma directa por la Unidad.</t>
    </r>
    <r>
      <rPr>
        <sz val="10"/>
        <color indexed="10"/>
        <rFont val="Arial"/>
        <family val="2"/>
      </rPr>
      <t xml:space="preserve"> (Sobre cuantos aeropuertos?)</t>
    </r>
  </si>
  <si>
    <t>50% (De xxx )</t>
  </si>
  <si>
    <r>
      <t>Prestación servicios de seguridad de la Aviación y de Facilitació</t>
    </r>
    <r>
      <rPr>
        <i/>
        <u/>
        <sz val="10"/>
        <color indexed="10"/>
        <rFont val="Arial"/>
        <family val="2"/>
      </rPr>
      <t>n en los Aeropuertos administrados por la Aerocivil.  FUNCION???</t>
    </r>
  </si>
  <si>
    <r>
      <t xml:space="preserve">12 AEROPUERTOS - </t>
    </r>
    <r>
      <rPr>
        <sz val="10"/>
        <color indexed="10"/>
        <rFont val="Arial"/>
        <family val="2"/>
      </rPr>
      <t>cuales</t>
    </r>
  </si>
  <si>
    <t xml:space="preserve">3 aeropuertos tipo 1 (???)
</t>
  </si>
  <si>
    <t xml:space="preserve">Elaborar  planes de acción para mitigar los impactos que se llegaren a presentar de acuerdo con los resultados obtenidos, en cumplimiento de la norma referidos al impacto de los campos electromagnéticos sobre el personal que opera los sistemas  de navegación y radioayudas y sus efectos sobre sobre flora, fauna y suelo   
</t>
  </si>
  <si>
    <t>FALTAN ; META  -  ACTVIDADES Y EL CRONOGRAMA CON FECHAS</t>
  </si>
  <si>
    <t>97%  y 80%</t>
  </si>
  <si>
    <t>ACTIVIDADES</t>
  </si>
  <si>
    <t>UNIDAD ADMINISTRATIVA ESPECIAL DE AERONAÚTICA CIVIL
PLAN ACCIÓN 2018 -  COMPROMISOS</t>
  </si>
  <si>
    <t>Cierre de hallazgos de Plan de MejoramientoCGR</t>
  </si>
  <si>
    <t># número de hallazgos cerrados</t>
  </si>
  <si>
    <t xml:space="preserve">3.1 Objetivos Institucionales </t>
  </si>
  <si>
    <r>
      <t>Objetivo 1.</t>
    </r>
    <r>
      <rPr>
        <sz val="12"/>
        <color indexed="8"/>
        <rFont val="Calibri"/>
        <family val="2"/>
      </rPr>
      <t xml:space="preserve"> Mejorar los niveles de seguridad operacional del transporte aéreo.</t>
    </r>
  </si>
  <si>
    <r>
      <t>Objetivo 2.</t>
    </r>
    <r>
      <rPr>
        <sz val="12"/>
        <color indexed="8"/>
        <rFont val="Calibri"/>
        <family val="2"/>
      </rPr>
      <t xml:space="preserve"> Mejorar la eficiencia e incrementar la capacidad de los servicios a la navegación aérea y de los servicios aeroportuarios.</t>
    </r>
  </si>
  <si>
    <r>
      <t>Objetivo 3.</t>
    </r>
    <r>
      <rPr>
        <sz val="12"/>
        <color indexed="8"/>
        <rFont val="Calibri"/>
        <family val="2"/>
      </rPr>
      <t xml:space="preserve"> Mejorar la facilitación y la seguridad de la aviación civil.</t>
    </r>
  </si>
  <si>
    <r>
      <t>Objetivo 4.</t>
    </r>
    <r>
      <rPr>
        <sz val="12"/>
        <color indexed="8"/>
        <rFont val="Calibri"/>
        <family val="2"/>
      </rPr>
      <t xml:space="preserve"> Minimizar los impactos negativos que genera el transporte aéreo sobre el medio ambiente y los recursos naturales.</t>
    </r>
  </si>
  <si>
    <r>
      <t>Objetivo 5.</t>
    </r>
    <r>
      <rPr>
        <sz val="12"/>
        <color indexed="8"/>
        <rFont val="Calibri"/>
        <family val="2"/>
      </rPr>
      <t xml:space="preserve"> Fomentar la cobertura y el crecimiento de la aviación civil.</t>
    </r>
  </si>
  <si>
    <r>
      <t xml:space="preserve">Objetivo 6. </t>
    </r>
    <r>
      <rPr>
        <sz val="12"/>
        <color indexed="8"/>
        <rFont val="Calibri"/>
        <family val="2"/>
      </rPr>
      <t>Fortalecer la gestión y eficiencia institucional.</t>
    </r>
  </si>
  <si>
    <t>Planeación Institucional</t>
  </si>
  <si>
    <t>Transparencia, acceso a la información pública y lucha contra la corrupción</t>
  </si>
  <si>
    <t>Fortalecimiento organizacional y simplificación de procesos</t>
  </si>
  <si>
    <t>Servicio al ciudadano</t>
  </si>
  <si>
    <t>Participación ciudadana en la gestión pública</t>
  </si>
  <si>
    <t>Gestión documental</t>
  </si>
  <si>
    <t>Seguridad Digital</t>
  </si>
  <si>
    <t>Gestión del conocimiento y la innovación</t>
  </si>
  <si>
    <t>Control Interno</t>
  </si>
  <si>
    <t>1. Planeación Institucional</t>
  </si>
  <si>
    <t>2. Gestión Presupuestal y eficiencia del gasto público</t>
  </si>
  <si>
    <t xml:space="preserve"> 3. Talento Humano</t>
  </si>
  <si>
    <t xml:space="preserve">4. Integridad </t>
  </si>
  <si>
    <t>5. Transparencia, acceso a la información pública y lucha contra la corrupción</t>
  </si>
  <si>
    <t>6. Fortalecimiento organizacional y simplificación de procesos</t>
  </si>
  <si>
    <t>7. Servicio al ciudadano</t>
  </si>
  <si>
    <t>8. Participación ciudadana en la gestión pública</t>
  </si>
  <si>
    <t>9,  Racionalización de trámites</t>
  </si>
  <si>
    <t>10. Gestión documental</t>
  </si>
  <si>
    <t xml:space="preserve"> 11. Gobierno Digital, antes Gobierno en Línea</t>
  </si>
  <si>
    <t>12. Seguridad Digital</t>
  </si>
  <si>
    <t>13. Defensa jurídica</t>
  </si>
  <si>
    <t>14. Gestión del conocimiento y la innovación</t>
  </si>
  <si>
    <t>15. Control Interno</t>
  </si>
  <si>
    <t xml:space="preserve"> 16. Seguimiento y evaluación del desempeño institucional</t>
  </si>
  <si>
    <t>POLÍTICAS</t>
  </si>
  <si>
    <t>Talento Humano</t>
  </si>
  <si>
    <t>Direccionamiento Estratégico y Planeación</t>
  </si>
  <si>
    <t>Gestión con Valores para Resultados</t>
  </si>
  <si>
    <t>Evaluación de Resultados</t>
  </si>
  <si>
    <t>Información y Comunicación</t>
  </si>
  <si>
    <t>Gestión del Conocimiento y la Innovación</t>
  </si>
  <si>
    <t>Gestión presupuestal y eficiencia del gasto público</t>
  </si>
  <si>
    <t>Talento humano</t>
  </si>
  <si>
    <t>Integridad</t>
  </si>
  <si>
    <t>Racionalización de trámites</t>
  </si>
  <si>
    <t>Gobierno Digital, antes Gobierno en Línea</t>
  </si>
  <si>
    <t>Defensa jurídica</t>
  </si>
  <si>
    <t>Control interno</t>
  </si>
  <si>
    <t>Seguimiento y evaluación del desempeño institucional</t>
  </si>
  <si>
    <t>DIMENSIONES</t>
  </si>
  <si>
    <t>Objetivos del Modelo Integrado de Planeación y Gestión – MIPG</t>
  </si>
  <si>
    <t>Fortalecer el liderazgo y el talento humano bajo los principios de integridad y legalidad, como motores de la generación de resultados de las entidades públicas</t>
  </si>
  <si>
    <t>Agilizar, simplificar y flexibilizar la operación de las entidades para la generación de bienes y servicios que resuelvan efectivamente las necesidades de los ciudadanos</t>
  </si>
  <si>
    <t>Desarrollar una cultura organizacional fundamentada en la información, el control y la evaluación, para la toma de decisiones y la mejora continua</t>
  </si>
  <si>
    <t>Facilitar y promover la efectiva participación ciudadana en la planeación, gestión y evaluación de las entidades públicas</t>
  </si>
  <si>
    <t>Promover la coordinación entre entidades públicas para mejorar su gestión y desempeño</t>
  </si>
  <si>
    <t xml:space="preserve">16 Políticas - </t>
  </si>
  <si>
    <t>MiPG DECRETO 1499 DE SEPT 2017</t>
  </si>
  <si>
    <t>CRONOGRAMA</t>
  </si>
  <si>
    <t>ENERO</t>
  </si>
  <si>
    <t>FEBRERO</t>
  </si>
  <si>
    <t>MARZO</t>
  </si>
  <si>
    <t>ABRIL</t>
  </si>
  <si>
    <t>MAYO</t>
  </si>
  <si>
    <t>JUNIO</t>
  </si>
  <si>
    <t>JULIO</t>
  </si>
  <si>
    <t>AGOSTO</t>
  </si>
  <si>
    <t>SEPTIEMBRE</t>
  </si>
  <si>
    <t>OCTUBRE</t>
  </si>
  <si>
    <t>NOVIEMBRE</t>
  </si>
  <si>
    <t>DICIEMBRE</t>
  </si>
  <si>
    <r>
      <rPr>
        <b/>
        <sz val="10"/>
        <color indexed="8"/>
        <rFont val="Calibri"/>
        <family val="2"/>
      </rPr>
      <t xml:space="preserve">Fuente </t>
    </r>
    <r>
      <rPr>
        <sz val="10"/>
        <color indexed="8"/>
        <rFont val="Calibri"/>
        <family val="2"/>
      </rPr>
      <t>: 20180119 Areas Entidad y consolidacion de la OAP.</t>
    </r>
  </si>
  <si>
    <t>Actualmente según lo reportado por parte de la Secretaría de Seguridad Operacional, fueron identificadas 15 empresas que han implementado el Sistema de  Gestión de Seguridad (SMS) en fase IV. El porcentaje de avance reportado, fue evaluado con respecto a la meta establecida de 22 empresas con SMS implementado en fase IV.</t>
  </si>
  <si>
    <t xml:space="preserve">La Secretaría de Seguridad Operacional reporta 11 accidentes en lo que va transcurrido del año 2017, cifra que según lo establecido en ete indicador, debe ser comparada con la cantidad de despegues que se registran a la fecha (553.159 despegues). </t>
  </si>
  <si>
    <t xml:space="preserve">Según lo manifestado por parte de la Dirección de Servicios a la Navegación Aérea,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</si>
  <si>
    <t>Se tiene un avance del 70% según lo evidenciado en las mesas de trabajo realizadas con todas las direcciones adscritas a la Secretaría de Sistemas Operacionales, 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</si>
  <si>
    <t xml:space="preserve">De acuerdo al reporte suministrado por parte de la Dirección de Seguridad y Supervisión Aeroportuaria, durante el tercer trimestre no se presentaron casos de interferencia ilícita, razón por la cual el indicador aún permanece en 0%. </t>
  </si>
  <si>
    <t>Durante el tercer trimestre del año en curso se está realizando el empalme entre el Grupo de Planificación Aeroportuaria y la Secretaría de Seguridad,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</si>
  <si>
    <t>De acuerdo a lo reportado por parte del Grupo de Gestión Financiera, se informa que el valor total del recaudo al tercer trimestre del año en curso fue de $989.202.000.oo y el valor total de ingreso fue de $1.281.270.000.oo, por tal razón el porcentaje de cumplimiento fue del 77,2%</t>
  </si>
  <si>
    <t xml:space="preserve">Fortalecimiento de los sistemas e infraestructura aeronáutica (aeropuertos y estaciones) a nivel nacional, brindando confiabilidad, integridad y seguridad </t>
  </si>
  <si>
    <t xml:space="preserve"> Nuevos Sistemas CNS/Meteorologia y Energia en operación</t>
  </si>
  <si>
    <t>Nivel de disponibilidad a nivel nacional de mínimo  90%</t>
  </si>
  <si>
    <t xml:space="preserve">
1. Implementacion Red de Comunicaciones Aeronáuticas (ATN ) 
</t>
  </si>
  <si>
    <t xml:space="preserve">2.Ampliacion redes de Comunicaciones Tierra Aire ( VHF-MICROONDAS )y   AMHS, DCL(ACARS), D-ATIS, Gestión de VHF, Gestión red satelital , MULTIPLEXORES, AIM, </t>
  </si>
  <si>
    <t xml:space="preserve">3.Puesta en operación  del Sistema de iluminación Categoría III para la pista Norte del Aeropuerto ElDorado.
</t>
  </si>
  <si>
    <t xml:space="preserve">4.Migrar de un sistema del de Información Aeronáutica (AIS) al  Sistema de  datos de intercambio para la información aeronáutica (AIXM).
</t>
  </si>
  <si>
    <t>Implementación de sistemas de aproximación de precisión  en los aeropuertos de Cartagena y Pereira</t>
  </si>
  <si>
    <t xml:space="preserve">5.Implementacion de nueos  Sistema de  Vigilancia - ADS-B- Radaresy finalización de la certificación (Cubrimiento 100%)
</t>
  </si>
  <si>
    <t>1.Ampliar la cobertura para la señal meteorológica a Nivel Nacional con la puesta en funcionamiento de radars meteorológicos en Riohacha</t>
  </si>
  <si>
    <t>2.Ampliar la información meteorológica a Nivel Nacional con la puesta en funcionamiento de nuevos sistemas AWOS en aeropuertos donde existe.</t>
  </si>
  <si>
    <t xml:space="preserve"> Realizar una campaña de comunicación enfocada a:
 -  Compromisos y disposiciones legales de la actualización de información en el SIGEP.
- Especificar los documentos que deben anexarse en el aplicativo. 
 - Explicar el procedimiento para la actualización de la hoja de vida. 
</t>
  </si>
  <si>
    <t xml:space="preserve">Remitir las solicitudes de incorporación o actualización de registro público, correspondientes a los  niveles  Bomberos y Controladores
</t>
  </si>
  <si>
    <t>Seguimiento al reconocimiento de todas las solcitudes aprobadas por la CNSC</t>
  </si>
  <si>
    <t>Deuda presunta   Notificada por Colpensiones periodo 1995 - 2017</t>
  </si>
  <si>
    <t xml:space="preserve"># de actualizaciónes del MFCL vs. # de necesidades de acualizacion del MFCL identificadas por las areas  
</t>
  </si>
  <si>
    <t># Deuda presunta vs. # Deuda Real</t>
  </si>
  <si>
    <t>Reuniones con las areas para determinar los requisitos generales del MFCL</t>
  </si>
  <si>
    <t xml:space="preserve">
Recopilar la informacion objeto de validacion (afiliaciones, desafiliaciones, traslado a fondos privados, corrección de nombres, terminación de vinculación laboral y novedades (Consolidar  la informacion)
</t>
  </si>
  <si>
    <t>Verificar que la deuda presunta corresponda a la realidad</t>
  </si>
  <si>
    <t xml:space="preserve">Aplicar las novedades en los  casos que no aplique la deuda 
Revisar la aplicabilidad de las correciones por parte de Colpensiones
</t>
  </si>
  <si>
    <t>Gestion y trámites para el reconocimiento  del  CEA  como  Institucion universitaria.</t>
  </si>
  <si>
    <t xml:space="preserve"> Obtener membresía plena para el CEA en el programa Train Air Plus de la OACI.-“Investigación de Incidentes ATS, como herramienta del SMS”</t>
  </si>
  <si>
    <t>Reconocimiento  del CEA como omo- Institucion universitaria -  ante el MEN</t>
  </si>
  <si>
    <t xml:space="preserve">Seguimiento  al   proceso  de  reconocimiento  del CEA como- Institución universitaria -  ante el MEN
</t>
  </si>
  <si>
    <t>x</t>
  </si>
  <si>
    <r>
      <t xml:space="preserve">Cumplir la normatividad OACI en materia de certificación de programas académicos como Centro de Instrucción Aeronáutica </t>
    </r>
    <r>
      <rPr>
        <sz val="10"/>
        <rFont val="Arial"/>
        <family val="2"/>
      </rPr>
      <t xml:space="preserve">
</t>
    </r>
  </si>
  <si>
    <t>Certificación de 1 programa- académico, del CEA  - "Curso Básico Control por Procedimientos del Área ATS"   por  parte  de la autoridad Aeronáutica competente</t>
  </si>
  <si>
    <t>continua para la  vigencia 2018-de acuerdo   a las  actividades  pendientes  que  quedaron  por  realizar</t>
  </si>
  <si>
    <t xml:space="preserve">Normalizar   el 50% de la  oferta  académica  del CEA bajo  el  sistema  de Créditos  </t>
  </si>
  <si>
    <t xml:space="preserve">
Identificar  las  intensidades  horarias  reales  de  toda la oferta  académica  del CEA
</t>
  </si>
  <si>
    <t>Construir la matriz de distribución de créditos</t>
  </si>
  <si>
    <t xml:space="preserve">Nuevo  Compromiso  Para   la  Vigencia  2018 </t>
  </si>
  <si>
    <t xml:space="preserve">
Planificar las actividades de elaboración y circulación de los productos de investigación desarrollados 
</t>
  </si>
  <si>
    <t xml:space="preserve">
Desarrollar los productos y realizar las actividades de circulación de los productos
”
</t>
  </si>
  <si>
    <t>Nuevo  compromisos para  la  Vigencia 2018</t>
  </si>
  <si>
    <r>
      <t>Ejecutar Plan de auditorías aprobado por el CICCI.</t>
    </r>
    <r>
      <rPr>
        <sz val="11"/>
        <color indexed="8"/>
        <rFont val="Arial Narrow"/>
        <family val="2"/>
      </rPr>
      <t xml:space="preserve">
</t>
    </r>
  </si>
  <si>
    <t>Cumplimiento Metas Presupuestales</t>
  </si>
  <si>
    <t>TODAS LAS AREAS (consolida OAP)</t>
  </si>
  <si>
    <t>Planeación Institucional
Fortalecimiento organizacional y simplificación de procesos</t>
  </si>
  <si>
    <t>Control interno
Seguimiento y evaluación del desempeño institucional</t>
  </si>
  <si>
    <t>Talento humano
Integridad</t>
  </si>
  <si>
    <t>Transparencia, acceso a la información pública y lucha contra la corrupción
Gestión documental</t>
  </si>
  <si>
    <t>Talento Humano
Intregridad</t>
  </si>
  <si>
    <t>PROCESOS</t>
  </si>
  <si>
    <t>DIRECCIONAMIENTO ESTRATEGICO</t>
  </si>
  <si>
    <t>ADMINISTRACIÓN DEL SISTEMA INTEGRADO DE GESTIÓN</t>
  </si>
  <si>
    <t>COMUNICACIÓN INSTITUCIONAL</t>
  </si>
  <si>
    <t>ATENCIÓN AL CIUDADANO</t>
  </si>
  <si>
    <t>GESTIÓN DE POLÍTICAS AEROCOMERCIALES</t>
  </si>
  <si>
    <t>GESTIÓN DE REGULACIÓN Y REGLAMENTACIÓN</t>
  </si>
  <si>
    <t>GESTIÓN DE LICENCIAS AERONAÚTICAS</t>
  </si>
  <si>
    <t>GESTIÓN DE CERTIFICACIONES Y PERMISOS</t>
  </si>
  <si>
    <t>GESTIÓN DE REGISTRO</t>
  </si>
  <si>
    <t>GESTIÓN DE INSPECCIÓN, VIGILANCIA Y CONTROL</t>
  </si>
  <si>
    <t>GESTIÓN DE INVESTIGACIÓN DE ACCIDENTES E INCIDENTES AÉREOS</t>
  </si>
  <si>
    <t>AUTORIDAD</t>
  </si>
  <si>
    <t>ESTRATÉGICOS</t>
  </si>
  <si>
    <t>GESTIÓN ESPACIO AÉREO</t>
  </si>
  <si>
    <t>GESTIÓN DE INFORMACIÓN AERONAÚTICA</t>
  </si>
  <si>
    <t>GESTIIÓN DE METEOROLOGÍA AERONAÚTICA</t>
  </si>
  <si>
    <t>GESTIÓN DE TRÁNSITO AÉREO</t>
  </si>
  <si>
    <t>GESTIÓN DE TECNOLOGÍA CNS/MET/ENERGÍA/AYUDAS VISUALES</t>
  </si>
  <si>
    <t>GESTIÓN DE BÚSQUEDA Y SALVAMENTO AÉREO</t>
  </si>
  <si>
    <t>PROVEEDOR DE SERVICIOS 
SERVICIOS A LA NAVEGACIÓN AÉREA</t>
  </si>
  <si>
    <t>GESTIÓN INFRAESTRUCTURA AEROPORTUARIA</t>
  </si>
  <si>
    <t>GESTIÓN DE SERVICIOS AEROPORTUARIOS</t>
  </si>
  <si>
    <t>GESTIÓN DE SALVAMENTO Y EXTINCIÓN DE INCENDIOS</t>
  </si>
  <si>
    <t>PROVEEDOR DE SERVICIOS 
SERVICIOS AEROPORTUARIOS</t>
  </si>
  <si>
    <t>GESTIÓN DE LA EDUCACIÓN</t>
  </si>
  <si>
    <t>PROVEEDOR DE SERVICIOS 
SERVICIOS DE EDUCACIÓN</t>
  </si>
  <si>
    <t xml:space="preserve">GESTIÓN FINANCIERA </t>
  </si>
  <si>
    <t>GESTIÓN JURÍDICA</t>
  </si>
  <si>
    <t>GESTIÓN DE TALENTO HUMANO</t>
  </si>
  <si>
    <t>GESTIÓN DE TECNOLOGIAS DE INFORMACIÓN</t>
  </si>
  <si>
    <t>GESTIÓN DE CONTRATACIÓN</t>
  </si>
  <si>
    <t>GESTIÓN DE LA SEGURIDAD Y SALUD EN EL TRABAJO</t>
  </si>
  <si>
    <t>GESTION DOCUMENTAL Y DE ARCHIVO</t>
  </si>
  <si>
    <t>GESTIÓN DE ADQUSICIÓN DE BIENES INMUEBLES</t>
  </si>
  <si>
    <t>GESTIÓN DE INVESTIGACIONES DISCIPLINARIAS</t>
  </si>
  <si>
    <t>GESTIÓN DE ADMINISTRACIÓN DE BIENES</t>
  </si>
  <si>
    <t>GESTIÓN DE INFORMACIÓN SECTORIAL</t>
  </si>
  <si>
    <t>APOYO</t>
  </si>
  <si>
    <t>GESTIÓN DE EVALUACIÓN Y ASESORÍA AL SISTEMA DE CONTROL INTERNO</t>
  </si>
  <si>
    <t>EVALUACIÓN</t>
  </si>
  <si>
    <t>MAPA DE PROCESOS</t>
  </si>
  <si>
    <t>INSTRUMENTO DE PLANEACIÓN INSTITUCIONAL EN EL  CUAL SE DETERMINAN ACCIONES Y METAS  A DESARROLLAR  DURANTE UNA VIGENCIA Y LA DESIGNACIÓN  DE LOS RESPONASABLES, PERÍODOS DE CUMPLIMIENTO Y LOS INDICADORES DE SEGUIMIENTO; EN EL MARCO DEL MODELO INTEGRADO DE PLANEACIÓN Y GESTIÓN Y EN CONCORDANCIA  CON LOS LINEAMIENTOS DEL PLAN ESTRATÉGICO INSTITUCIONAL, PLAN SECTORIAL Y PLAN NACIONAL DE DESARROLLO</t>
  </si>
  <si>
    <t>PLAN ACCIÓN  : OBJETIVO</t>
  </si>
  <si>
    <t xml:space="preserve">UNIDAD ADMINISTRATIVA ESPECIAL DE AERONAÚTICA CIVIL
PLAN ACCIÓN 2018 -  COMPROMISOS Y/O ACCIONES </t>
  </si>
  <si>
    <t>Compromiso Y/O Acciones</t>
  </si>
  <si>
    <t>Eventos promocionales programados de marco regulatorio</t>
  </si>
  <si>
    <t xml:space="preserve">Casos solucionados No de casos presentados
</t>
  </si>
  <si>
    <t>Cierre de hallazgos de Plan de Mejoramiento CGR</t>
  </si>
  <si>
    <t>Mesas  concertadas realizadas</t>
  </si>
  <si>
    <t>Actividades realizadas Vs Actividades programadas</t>
  </si>
  <si>
    <t>Ampliación del espectro profesional</t>
  </si>
  <si>
    <t xml:space="preserve">Renovar y actualizar el proceso de  intermediación entre la aerolínea y pasajero evitando que se presenten reclamaciones en los aeropuertos concesionados.
</t>
  </si>
  <si>
    <t>Fortalecer el Conocimiento del Talento Humano  de la Aviación Civil</t>
  </si>
  <si>
    <t>Revisar y actualizar el Convenio Interadministrativo ANI/UAEAC</t>
  </si>
  <si>
    <t>Realizar el análisis de percepción sobre servicios en terminales aeroportuarios</t>
  </si>
  <si>
    <t>Supervisores Sensibilizados</t>
  </si>
  <si>
    <t>Ejecución de los programas de sensibilización</t>
  </si>
  <si>
    <t>Actualizar documentos asociados a los procesos</t>
  </si>
  <si>
    <t>Numero de procedimientos actualizados vs numero de procedimientos analizados</t>
  </si>
  <si>
    <t xml:space="preserve">Revisar y actualizar el Manual Especifico de Funciones </t>
  </si>
  <si>
    <t xml:space="preserve">Evaluar, monitorear y controlar los diferentes proyectos presentados bajo las distintas modalidades. 
</t>
  </si>
  <si>
    <t>TALENTO HUMANO INTEGRADO</t>
  </si>
  <si>
    <t>GESTIÓN PRESUPUESTAL Y EFICIENCIA DEL GASTO PÚBLICO</t>
  </si>
  <si>
    <t>CONTROL INTERNO 
SEGUIMIENTO Y EVALUACIÓN DEL DESEMPEÑO INSTITUCIONAL</t>
  </si>
  <si>
    <t>DEFENSA JURÍDICA</t>
  </si>
  <si>
    <t xml:space="preserve"> PLANEACIÓN INSTITUCIONAL</t>
  </si>
  <si>
    <t>TRANSPARENCIA, ACCESO A LA INFORMACIÓN PÚBLICA Y LUCHA CONTRA LA CORRUPCIÓN</t>
  </si>
  <si>
    <t>Reformulación de los Proyectos de Inversión conforme a la priorización acordada con el DNP.</t>
  </si>
  <si>
    <t>50% Proyectos reformulados</t>
  </si>
  <si>
    <t>(Actividades cumplidas/ Actividades programadas)*100</t>
  </si>
  <si>
    <t>Incorporación de otros proyectos acordados al MGA</t>
  </si>
  <si>
    <t xml:space="preserve">Actualizar y Divulgar los mapas  de riesgos asociados a la corrupción y gestión.
</t>
  </si>
  <si>
    <t>OFICINA ASESORA DE  PLANEACIÓN</t>
  </si>
  <si>
    <t>Mapa de riesgos de corrupción actualizado y publicado.</t>
  </si>
  <si>
    <t>Sensibilización de mapa de riesgos asociados a la gestión y corrupción.</t>
  </si>
  <si>
    <t>Socialización y gestión de la transparencia institucional por intermedio del control de riesgos.</t>
  </si>
  <si>
    <t>Diagnostico relacionado con la planificación del SGC en la gestión pública</t>
  </si>
  <si>
    <t>Avance en el cumplimiento de las actividades programadas en el cronograma</t>
  </si>
  <si>
    <t>Presentación de  Resultados</t>
  </si>
  <si>
    <t>Definir  los  objetivos  del  fortalecimiento del  conocimiento del sector</t>
  </si>
  <si>
    <t xml:space="preserve">Determinar la oferta  relacionada con los  objetivos </t>
  </si>
  <si>
    <t>Entrega de la  estructuración del  Proyecto</t>
  </si>
  <si>
    <t>Número de eventos del programa de promoción aerocomercial frente al Número total de eventos programados</t>
  </si>
  <si>
    <t>RAC 3 reformulado</t>
  </si>
  <si>
    <t>Adopción de la norma RAC 3 actualizada</t>
  </si>
  <si>
    <t>Norma RAC 3 Actualizada</t>
  </si>
  <si>
    <t>Numerales reformulados/  Total numerales a reformular</t>
  </si>
  <si>
    <t>Estructuración del nuevo modelo de intermediación</t>
  </si>
  <si>
    <t>Realización de pruebas piloto</t>
  </si>
  <si>
    <t>Documentación del nuevo proceso de intermediación</t>
  </si>
  <si>
    <t xml:space="preserve">Desarrollar los productos y realizar las actividades de circulación de los productos
</t>
  </si>
  <si>
    <t xml:space="preserve">Fortalecer la mejora continua de la Entidad asociadas al plan de mejoramiento de la CGR
</t>
  </si>
  <si>
    <t>Informes mensuales de resultados</t>
  </si>
  <si>
    <t>SECRETARIA SEGURIDAD OPERACIONAL Y DE LA AVIACIÓN CIVIL</t>
  </si>
  <si>
    <t>Implementación mesas de trabajo y desarrollar actividades</t>
  </si>
  <si>
    <t>Informe final de resultados e implementación.</t>
  </si>
  <si>
    <t>Estructurar e  implementar  el nuevo modelo de  gestión de las Regionales Aeronáuticas</t>
  </si>
  <si>
    <t>Definición de lineamientos y directrices para el nuevo modelo de gestión</t>
  </si>
  <si>
    <t>Socialización y ajustes del documento guía "Nuevo Modelo de Gestión para las Regionales"</t>
  </si>
  <si>
    <t xml:space="preserve">Implementar el modelo de gestión para las Regionales </t>
  </si>
  <si>
    <t>Implementación del Nuevo Modelo de Gestión para las Regionales.</t>
  </si>
  <si>
    <t xml:space="preserve">Modificar y actualizar para la   norma RAC 3 de los Reglamentos Aeronáuticos de Colombia resaltando la racionalización de los requisitos para el acceso al mercado aéreo  y las modalidades del transporte aéreo. </t>
  </si>
  <si>
    <t>De acuerdo al logro de cada una de las tres actividades</t>
  </si>
  <si>
    <t>Coordinar Mesas de trabajo con las áreas responsables de la administración de los procedimientos con impacto económico financiero (30%)</t>
  </si>
  <si>
    <t>Documento Borrador del Manual como resultado de las mesas de trabajo (50%)</t>
  </si>
  <si>
    <t xml:space="preserve">Procedimientos actualizado / total procedimientos </t>
  </si>
  <si>
    <t xml:space="preserve">Sensibilizar a los supervisores en sus roles </t>
  </si>
  <si>
    <t>uno</t>
  </si>
  <si>
    <t xml:space="preserve"> Procedimientos actualizados
</t>
  </si>
  <si>
    <t xml:space="preserve">Cargos de planta analizados </t>
  </si>
  <si>
    <t>Formular e implementar un plan integral de desarrollo del  humano.</t>
  </si>
  <si>
    <t xml:space="preserve">Verificar y validar la información suministrada  por los servidores públicos 
</t>
  </si>
  <si>
    <t xml:space="preserve"># Deuda presunta vs. # Deuda Real
</t>
  </si>
  <si>
    <t>Documento con el proceso y las estrategias diseñadas</t>
  </si>
  <si>
    <t>Documento elaborado</t>
  </si>
  <si>
    <t>Documento elaborado/Documento programado</t>
  </si>
  <si>
    <t>Elaborar las estrategias para el ejercicio de Arquitectura empresarial .</t>
  </si>
  <si>
    <t>Soluciones implementadas 100%</t>
  </si>
  <si>
    <t>GESTIÓN DEL CONOCIMIENTO Y LA INNOVACIÓN</t>
  </si>
  <si>
    <t>Implementar un Plan de sensibilización de autocuidado con cobertura nacional.</t>
  </si>
  <si>
    <t xml:space="preserve"> Diseñar e implementar un plan de evacuación segura de las torres de control en interacción transversal con la Dirección de Infraestructura.    </t>
  </si>
  <si>
    <t xml:space="preserve">Diseñar e implementar una estrategia de prevención y promoción de salud en el trabajo con cobertura a nivel nacional.    </t>
  </si>
  <si>
    <t>Realizar plan de acción del programa de transparencia y socializarlo en la entidad</t>
  </si>
  <si>
    <t>Validar  y aprobar el diagnostico de la situación actual en Tecnologías de la Información - TI elaborado en al vigencia 2017.</t>
  </si>
  <si>
    <t>Avance elaboración e implementación del Nuevo Modelo de Gestión para las Regionales"</t>
  </si>
  <si>
    <t>Definición del alcance de inicio del proceso de reformulación</t>
  </si>
  <si>
    <t>Plan de trabajo con cronograma definido y concertado para la socialización</t>
  </si>
  <si>
    <t>Plan de trabajo con cronograma definido y concertado para el programa de fortalecimiento</t>
  </si>
  <si>
    <t>Promover la utilización de la implementación de la nueva versión de ISOLUCION</t>
  </si>
  <si>
    <t xml:space="preserve">Definir cronograma </t>
  </si>
  <si>
    <t>FORTALECIMIENTO ORGANIZACIONAL Y SIMPLIFICACIÓN DE PROCESOS</t>
  </si>
  <si>
    <t xml:space="preserve">FOMENTAR LA COBERTURA Y EL CRECIMIENTO DE LA AVIACIÓN CIVIL
</t>
  </si>
  <si>
    <t>Promover  marcos  regulatorios que posibiliten el desarrollo de servicios de transporte aéreo de pasajeros y carga, y/o desarrollen figuras de flexibilidad operacional,  que permitan mejorar la conectividad aérea y el fortalecimiento de la relaciones comerciales de Colombia con otros países.</t>
  </si>
  <si>
    <t>OFICINA TRANSPORTE AÉREO - SECRETARIA DE SEGURIDAD OPERACIONAL Y DE LA AVIACIÓN CIVIL</t>
  </si>
  <si>
    <t>Este compromiso es el mismo del 2017 y ha tenido muchos inconvenientes para su medición. . Fecha de cumplimiento 15 Dic 2018 y Semestral</t>
  </si>
  <si>
    <t>MEJORAR LA FACILITACIÓN Y LA SEGURIDAD DE LA AVIACIÓN CIVIL</t>
  </si>
  <si>
    <t>Proceso de intermediación actualizado y/o renovado</t>
  </si>
  <si>
    <t>OFICINA TRANSPORTE AÉREO Y OFICINA DE COMERCIALIZACIÓN</t>
  </si>
  <si>
    <t>Definir cronograma del proyecto de actualización</t>
  </si>
  <si>
    <t>Desarrollar un esquema unificado de las auditorías a los Sistemas de Gestión, con enfoque en productos y servicios, coordinando los alcances y  tiempos de ejecución, reduciendo el impacto en la operación y  optimizando recursos que redunden en el mejoramiento continuo de los procesos, con hallazgos integrales, bajo criterios de auditorias combinadas con énfasis en productos y servicios</t>
  </si>
  <si>
    <t>Reconocimiento del CEA a nivel internacional en el ámbito de formación del  personal aeronáutico y aeroportuario</t>
  </si>
  <si>
    <t>OFICINA  CENTRO DE  ESTUDIOS  AERONÁUTICOS</t>
  </si>
  <si>
    <t>.Revisar el  nombre del indicador y la segunda actividad. Fecha febrero 2018 y trimestral</t>
  </si>
  <si>
    <t>Gestión y trámites para el reconocimiento  del  CEA  como  Institución universitaria.</t>
  </si>
  <si>
    <t>Reconocimiento  del CEA como - Institución universitaria -  ante el MEN</t>
  </si>
  <si>
    <t>.Revisar el compromiso Vs Meta y el nombre del indicador, Fecha Marzo 2018 - Trimestral</t>
  </si>
  <si>
    <t>.Revisar todo este compromiso. Fecha Diciembre  2018 - Falta la medida</t>
  </si>
  <si>
    <t>.Revisar todo este compromiso de que cifra se parte para hablar de incremento del 20%. Fecha Diciembre  2018 - Semestral</t>
  </si>
  <si>
    <t>Convocar a los actores   del sector aeronáutico para la construcción del Planeación Estratégica del Sector al 2030</t>
  </si>
  <si>
    <t>Plan estratégico Aeronáutico  2030</t>
  </si>
  <si>
    <t xml:space="preserve">OFICINA  CENTRO DE  ESTUDIOS  AERONÁUTICOS  - OFICINA ASESORA DE PLANEACIÓN </t>
  </si>
  <si>
    <t>Planeación del  Evento</t>
  </si>
  <si>
    <t>Fortalecer la gestión de conocimiento  del Sector</t>
  </si>
  <si>
    <t>Fortalecer los procesos de control en el cumplimiento de obligaciones</t>
  </si>
  <si>
    <t>OFICINA ASESORA JURÍDICA</t>
  </si>
  <si>
    <t xml:space="preserve"> Fijar la unificación de una línea doctrinal Jurídica al interior de la UAEAC. 
</t>
  </si>
  <si>
    <t>Unificar criterios  jurídicos</t>
  </si>
  <si>
    <t>Conceptos Jurídicos Unificados (CJU)</t>
  </si>
  <si>
    <t>Análisis de la situación actual de conceptos  jurídicos</t>
  </si>
  <si>
    <t xml:space="preserve">Acompañamiento jurídico a los procesos institucionales  
</t>
  </si>
  <si>
    <t xml:space="preserve">Reducir el impacto de los fallos jurídicos en contra de la UAEAC 
</t>
  </si>
  <si>
    <t>Política de prevención implementada</t>
  </si>
  <si>
    <t xml:space="preserve">Actividades cumplidas en el plan de acción vs actividades programadas en el plan de acción </t>
  </si>
  <si>
    <t xml:space="preserve">Revisión y análisis de los pliegos  contractuales de uso en la entidad.
</t>
  </si>
  <si>
    <t xml:space="preserve">Actualización, revisión y seguimiento de los procesos judiciales de la entidad.
</t>
  </si>
  <si>
    <t>Priorización de los procesos catalogados de alto riesgo para la entidad</t>
  </si>
  <si>
    <t>FOMENTAR LA COBERTURA Y EL CRECIMIENTO DE LA AVIACIÓN CIVIL</t>
  </si>
  <si>
    <t xml:space="preserve">Consolidar y fortalecer  la coordinación interinstitucional ANI/UAEAC
</t>
  </si>
  <si>
    <t>Cumplimiento del 90 % de las actividades acordadas en los Comités interagenciales</t>
  </si>
  <si>
    <t>OFICINA DE COMERCIALIZACIÓN  E INVERSIÓN</t>
  </si>
  <si>
    <t xml:space="preserve">Elaborar un informe ejecutivo de análisis y seguimiento de los compromisos de los comités  interinstitucionales ANI/UAEAC  </t>
  </si>
  <si>
    <t>Priorizar e implementarlas acciones resultados de los comités ANI/UAEAC</t>
  </si>
  <si>
    <t xml:space="preserve">Aplicación del procedimiento en el 90% proyectos presentados de entrega de infraestructura aeroportuaria </t>
  </si>
  <si>
    <t xml:space="preserve">OFICINA DE COMERCIALIZACIÓN E INVERSIÓN Y OFICINA ASESORA DE PLANEACIÓN </t>
  </si>
  <si>
    <t xml:space="preserve">Análisis y definición de los aeropuertos para la estructuración  para el desarrollo de las APP publicas
</t>
  </si>
  <si>
    <t>OFICINA DE COMERCIALIZACIÓN</t>
  </si>
  <si>
    <t>MEJORAR LA EFICIENCIA E INCREMENTAR LA CAPACIDAD DE LOS SERVICIOS A LA NAVEGACIÓN AÉREA Y DE LOS SERVICIOS AEROPORTUARIOS.</t>
  </si>
  <si>
    <t>Evaluación y seguimiento al cumplimiento de las metas del PNA.</t>
  </si>
  <si>
    <t>DIRECCIÓN DE TELECOMUNICACIONES</t>
  </si>
  <si>
    <t>Implementación de la posición</t>
  </si>
  <si>
    <t>Implementación ATFCM = (Actividades Ejecutadas/Actividades programadas) X 100</t>
  </si>
  <si>
    <t>Fecha cumplimiento diciembre  2018 - Anual - %</t>
  </si>
  <si>
    <t>MEJORAR LOS NIVELES DE SEGURIDAD OPERACIONAL DEL TRANSPORTE AÉREO</t>
  </si>
  <si>
    <t xml:space="preserve">Formular y adoptar los procedimientos institucionales con impacto económico </t>
  </si>
  <si>
    <t>Aprobación del Manual  de políticas Contables</t>
  </si>
  <si>
    <t>Surtir los trámites de aprobación(20%).</t>
  </si>
  <si>
    <t>Implementar NICSP</t>
  </si>
  <si>
    <t>Gestionar la apropiación de recursos</t>
  </si>
  <si>
    <t>Obtener la validación Trimestral de los EEFF por parte de la   CGN.</t>
  </si>
  <si>
    <t>Balance  trimestral a la  contaduría  General  de  la  Nación</t>
  </si>
  <si>
    <t>Revisar y diagnosticar los documentos que están asociados al proceso de contratación{ de la Entidad.</t>
  </si>
  <si>
    <t>Elaborar propuestas de mejora y modificación de documentos.</t>
  </si>
  <si>
    <t>numero de supervisores sensibilizados / sobre numero de supervisores designados</t>
  </si>
  <si>
    <t>Adopción y socialización de los documentos del nuevo proceso de contratación documentado</t>
  </si>
  <si>
    <t>Revisar las políticas, procesos y procedimientos de los servicios generales de la Entidad.</t>
  </si>
  <si>
    <t xml:space="preserve">Revisión y análisis de los procedimientos existentes en la entidad </t>
  </si>
  <si>
    <t xml:space="preserve">Fortalecer  el sistema de administración de personal de la entidad </t>
  </si>
  <si>
    <t xml:space="preserve">Numero de cargos susceptibles de actualizar VS  numero de cargos de planta analizados    </t>
  </si>
  <si>
    <t>Diagnostico de la situación actual de la Carrera Administrativa de la Unidad Administrativa Especial de la Aerocivil..</t>
  </si>
  <si>
    <t>Realizar un  análisis a la planta de personal de la entidad</t>
  </si>
  <si>
    <t xml:space="preserve">Formular e implementar el plan de Capacitación interno (PIC) en coordinación con el Centro de Estudios de Ciencias Aeronáuticas -CEA.  </t>
  </si>
  <si>
    <t>Recopilar la información objeto de validación (afiliaciones, desafiliaciones, traslado a fondos privados, corrección de nombres, terminación de vinculación laboral y novedades (Consolidar  la información)</t>
  </si>
  <si>
    <t xml:space="preserve">Elaborar y socializar circular especificando tareas y responsables de las actividades contempladas en la política de Gobierno en Línea - GEL
</t>
  </si>
  <si>
    <t>Seguimientos trimestrales de la matriz de Gobierno en Línea - GEL</t>
  </si>
  <si>
    <t>Organizar el proceso de Arquitectura Empresarial alineado al marco de referencia para la gestión de tecnologías  de la información del Estado Colombiano</t>
  </si>
  <si>
    <t>Validar y aprobar el PETI actual (Plan estratégico de las tecnologías de la información) .</t>
  </si>
  <si>
    <t>Incremento de capacidad de los servicios operacionales</t>
  </si>
  <si>
    <t>Proyectos desarrollados / Proyectos programados</t>
  </si>
  <si>
    <t xml:space="preserve">Implementación de las metas del PNA, acorde con el Plan Anual de Adquisiciones; </t>
  </si>
  <si>
    <t>%=((PE/PP)*0.3)+((PE/PP)*0.2)+((PE/PP)*0.2)+((PE/PP)*0.1)+(((PE/PP)*0.2)</t>
  </si>
  <si>
    <t>Adquisición y puesta en servicio de sistemas de navegación aérea DVOR/ILS - ((PE/PP)*0.2); número de proyectos 8</t>
  </si>
  <si>
    <t>Mejorar las condiciones de la infraestructura aeroportuaria de acuerdo con lo previsto en el PNA y de conformidad con  los alcances del PAA</t>
  </si>
  <si>
    <t>%= [Proyecto ejecutado de construcción/Proyecto programado de construcción *0.4]+[Proyecto ejecutado de mantenimiento/Proyecto programado de mantenimiento *0.6]</t>
  </si>
  <si>
    <t>MEJORAR LA EFICIENCIA E INCREMENTAR LA CAPACIDAD DE LOS SERVICIOS AEROPORTUARIOS.</t>
  </si>
  <si>
    <t>Fortalecer la prestación de los servicios aeroportuarios</t>
  </si>
  <si>
    <t>Modernización de equipamiento y prestación servicios de vigilancia para la seguridad de la aviación  PES/PPS  12</t>
  </si>
  <si>
    <t>Modernización de equipamiento y la eficiencia en la prestación de los servicios SEI PEI/PPI  8</t>
  </si>
  <si>
    <t>Minimizar los impactos ambientales que genera la operación aérea y aeroportuaria PEA/PPA  15</t>
  </si>
  <si>
    <t>Mejorar el equipamiento y prestación servicios de sanidad aeroportuaria  PEM/PPM 6</t>
  </si>
  <si>
    <t>DIRECCIÓN DE SERVICIOS A LA NAVEGACIÓN</t>
  </si>
  <si>
    <t>Asesorar, controlar, brindar soporte validando el cumplimiento de los requisitos y especificaciones técnicas previas al proceso de contratación</t>
  </si>
  <si>
    <t>Proyectos Gestionados por el GGPA</t>
  </si>
  <si>
    <t>Evaluar el cumplimiento de los planes, programas y proyectos relacionados con los sistemas operacionales</t>
  </si>
  <si>
    <t>SUBDIRECCIÓN GENERAL</t>
  </si>
  <si>
    <t>Elaboración de documento guía "Nuevo Modelo de Gestión para las Regionales"</t>
  </si>
  <si>
    <t>PLANEACIÓN INSTITUCIONAL 
FORTALECIMIENTO ORGANIZACIONAL Y SIMPLIFICACIÓN DE PROCESOS</t>
  </si>
  <si>
    <t>OFICINA ASESORA DE PLANEACIÓN</t>
  </si>
  <si>
    <t>Plan de trabajo con cronograma definido y concertado</t>
  </si>
  <si>
    <t>Incorporación de la información en la MGA para el proyecto piloto acordado</t>
  </si>
  <si>
    <t>Cumplimiento de las Metas del Plan de Navegación Aérea Colombia de acuerdo al Plan Anual de Adquisiciones</t>
  </si>
  <si>
    <t xml:space="preserve">Atender las visitas de verificación de los inspectores de la SSOAC -Secretaría de Seguridad Operacional y de la Aviación Civil </t>
  </si>
  <si>
    <t>Ajustar de acuerdo con las observaciones presentadas por la SSOAC los manuales de Directivas de Instrucción</t>
  </si>
  <si>
    <t>Índice de fortalecimientos de los sistemas CNS/MET/Energía</t>
  </si>
  <si>
    <t>Mantener y ampliar la red VHF/ microondas y sistemas de información aeronáutica - ((PE/PP)*0.3); número de proyectos 6</t>
  </si>
  <si>
    <t>Adquisición y puesta en funcionamiento de los sistemas ADS-B y sistemas radar SSR -((PE/PP)*0.2); número de proyectos 5</t>
  </si>
  <si>
    <t>Ampliación de los sistemas AWOS, Adquisición del sistema GOES - R y sistema radar meteorológico  ((PE/PP)*0.1); número de proyectos 3</t>
  </si>
  <si>
    <t>Adquisición de equipos electrógenos, UPS  y migración hacia los sistemas LED en el lado aire                                                                                   ((PE/PP)*0.2; número de proyectos 6</t>
  </si>
  <si>
    <t>Índice de Intervenciones de infraestructura aeroportuaria</t>
  </si>
  <si>
    <t xml:space="preserve">Desarrollar proyectos de construcción y/o ampliación de infraestructura aeroportuaria </t>
  </si>
  <si>
    <t xml:space="preserve">Desarrollar proyectos de mantenimiento de infraestructura aeroportuaria </t>
  </si>
  <si>
    <t>Índice de eficiencia de los servicios aeroportuarios</t>
  </si>
  <si>
    <t>Implementación del CECOA  PEO/PPO 3</t>
  </si>
  <si>
    <t>Coordinar con las Direcciones de la SSO la planeación, formulación y desarrollo de proyectos, articulados por el PAA, PEI, PNA</t>
  </si>
  <si>
    <t>Definir cronograma del proyecto de implementación fase 1</t>
  </si>
  <si>
    <t>TODAS LAS ÁREAS (consolida OAP)</t>
  </si>
  <si>
    <t xml:space="preserve">Fortalecer la mejora continua de la Entidad asociadas al plan de mejoramiento de la Oficina de Control Interno
</t>
  </si>
  <si>
    <t>OFICINA DE CONTROL INTERNO - TODAS ÁREAS</t>
  </si>
  <si>
    <t xml:space="preserve">índice de normalización de la  oferta  académica
</t>
  </si>
  <si>
    <r>
      <rPr>
        <b/>
        <sz val="10"/>
        <rFont val="Arial"/>
        <family val="2"/>
      </rPr>
      <t>%</t>
    </r>
    <r>
      <rPr>
        <sz val="10"/>
        <rFont val="Arial"/>
        <family val="2"/>
      </rPr>
      <t>= [Número de proyectos radicados en D. Administrativa/ Proyectos estructurados Σ(DITEL+DIA+DSA)]*100</t>
    </r>
  </si>
  <si>
    <t xml:space="preserve">Planificación de Auditorías combinadas de los Sistemas de Gestión Implementados en la Entidad. </t>
  </si>
  <si>
    <t>Ejecutar Plan de auditorías aprobado por el CICCI.</t>
  </si>
  <si>
    <t>Informes de auditorías combinadas –Medición Gestión y Resultados Productos y Servicios de la Entidad.</t>
  </si>
  <si>
    <t>Encuesta de satisfacción de los clientes y partes interesadas.</t>
  </si>
  <si>
    <t>Validar ante la OACI el material Didáctico Normalizado-CMDN en “Investigación de Incidentes ATS, como herramienta del SMS”</t>
  </si>
  <si>
    <t>Obtener  ante la OACI la membresía plena</t>
  </si>
  <si>
    <t>Seguimiento  al   proceso  de  reconocimiento  del CEA como- Institución universitaria -  ante el MEN.</t>
  </si>
  <si>
    <t>Documentos de Planificación Aeroportuaria.</t>
  </si>
  <si>
    <t xml:space="preserve">Documentos de Planificación Aeroportuarios Elaborados/Documentos de Planificación Aeroportuarios Proyectados    (*100)                 </t>
  </si>
  <si>
    <t>Desarrollar las Actividades establecidas en la Metodología de la Circular 053: Aeropuerto de Condoto, Aeropuerto de Nuquí, Aeropuerto de Guapi, Aeropuerto de Mompox, Aeropuerto de Puerto Carreño y Aeropuerto de Puerto Carreño.</t>
  </si>
  <si>
    <t>FORTALECIMIENTO INSTITUCIONAL</t>
  </si>
  <si>
    <t>Actualización Planes Maestros</t>
  </si>
  <si>
    <t xml:space="preserve">Planes Maestros Actualizados/Planes maestros para Actualizar.(*100)                     </t>
  </si>
  <si>
    <t>Participación Activa en las actividades convocadas por el Ministerio de Transporte</t>
  </si>
  <si>
    <t>Participación en Actividades del Plan de Transporte Intermodal(PMTI)</t>
  </si>
  <si>
    <t>Actividades Atendidas/Actividades Programadas ( *100)</t>
  </si>
  <si>
    <t>Suministro de Información Solicitada, Revisión de Documentos Borrador y Definitivo - Conceptuar frente a la Integración del sector aéreo al PMTI - Participación a las Actividades Programadas por el Ministerio de Transporte.</t>
  </si>
  <si>
    <t>Coordinar todas las Actividades inherentes a la Construcción de la Versión 9.</t>
  </si>
  <si>
    <t>Porcentaje de Avance de la Elaboración de la Actualización la Versión 9 del PNA</t>
  </si>
  <si>
    <t>Cronograma de Actividades - Conformación de Grupo de Tareas de las Áreas Involucradas - Definición de los Alcances Acordados para el Volumen I, Volumen II y Volumen II del PNA</t>
  </si>
  <si>
    <t>(#ordenes cerradas/# ordenes generadas)*100</t>
  </si>
  <si>
    <t>Circulares SSO</t>
  </si>
  <si>
    <t>(#de circulares  revisadas/# de circulares publicadas )*100</t>
  </si>
  <si>
    <t>10 Documentos</t>
  </si>
  <si>
    <t>Generar Manual del Sistema de Gestión de la Seguridad Operacional</t>
  </si>
  <si>
    <t>1 Basa de Datos</t>
  </si>
  <si>
    <t xml:space="preserve">Elaborar base de datos para la administración de la información </t>
  </si>
  <si>
    <t>Elaborar procedimiento para la actualización de la información</t>
  </si>
  <si>
    <t>Participar y promover el SMS-QA, a las Direcciones Regionales, Administradores Aeroportuarios y personal operativo de los aeropuertos, incluye otras Entidades y Empresas</t>
  </si>
  <si>
    <t>(No. De personas contactadas /No. de personas previstas para la difusión) * 100</t>
  </si>
  <si>
    <t xml:space="preserve">Diseñar el esquema de difusión del SMS-QA                                                           </t>
  </si>
  <si>
    <t>Integrar el SMS, al sistema integrado de Gestión de la Entidad</t>
  </si>
  <si>
    <t>Realizar visitas de verificación del funcionamiento del SMS</t>
  </si>
  <si>
    <t>Evaluación de los reportes</t>
  </si>
  <si>
    <t xml:space="preserve">Implementar procedimiento APV con Baro VNAV 
</t>
  </si>
  <si>
    <t>Cantidad de aeropuertos internacionales en los que se ha implementado Vs total programados</t>
  </si>
  <si>
    <t xml:space="preserve">Implementación STAR PBN 
</t>
  </si>
  <si>
    <t>Mejorar la eficiencia e incrementar la capacidad</t>
  </si>
  <si>
    <t>Transición del AIS al AIM</t>
  </si>
  <si>
    <t>Implementación AIM = (Actividades Ejecutadas/Actividades programadas) X 100</t>
  </si>
  <si>
    <t>Migración al SWIM</t>
  </si>
  <si>
    <t>Implementación SWIM  = (Actividades Ejecutadas/Actividades programadas) X 100</t>
  </si>
  <si>
    <r>
      <t xml:space="preserve">SECRETARÍA GENERAL - </t>
    </r>
    <r>
      <rPr>
        <sz val="10"/>
        <rFont val="Arial"/>
        <family val="2"/>
      </rPr>
      <t>DIRECCIÓN  FINANCIERA</t>
    </r>
  </si>
  <si>
    <t>Avance de cumplimiento de las actividades</t>
  </si>
  <si>
    <t xml:space="preserve">(Actividades Desarrolladas / Actividades Programadas) *100 </t>
  </si>
  <si>
    <t xml:space="preserve">SMS-QA Socializado </t>
  </si>
  <si>
    <t>Actualizar y elaborar el SMS  para aeropuertos Internacionales, cuyo explotador de aeródromo sean la Aerocivil.</t>
  </si>
  <si>
    <t>SMS Elaborado y actualizado</t>
  </si>
  <si>
    <t>(No. de aeropuertos con SMS Aprobado  / No. Aeropuertos Proyectados ) * 100</t>
  </si>
  <si>
    <t xml:space="preserve">Documentos SMS aprobados </t>
  </si>
  <si>
    <t>Coordinación de diferentes dependencias para la ejecución final</t>
  </si>
  <si>
    <t>Participar y orientar sobre el sistema de gestión</t>
  </si>
  <si>
    <t>Generar documento de plan de implementación</t>
  </si>
  <si>
    <t>Contratar  la consultoría de apoyo a la implementación de las normas internacionales NICSP</t>
  </si>
  <si>
    <t>Adelantar la reingeniería al proceso contractual en todas sus etapas.</t>
  </si>
  <si>
    <t>Proceso y documentos actualizados</t>
  </si>
  <si>
    <t>Armonizar el SMS al SIGC</t>
  </si>
  <si>
    <t>SMS incluido en el SIGC</t>
  </si>
  <si>
    <t>Avances de la armonización</t>
  </si>
  <si>
    <t>GRUPO DE GESTIÓN DE PROYECTOS AERONÁUTICOS - SSO</t>
  </si>
  <si>
    <t>GRUPO DE PLANIFICACIÓN AEROPORTUARIA</t>
  </si>
  <si>
    <t>GRUPO DE COORDINACIÓN Y SEGUIMIENTO DE SERVICIOS OPERACIONALES - SSO</t>
  </si>
  <si>
    <t>GRUPO DE TRABAJO SMS-QA</t>
  </si>
  <si>
    <t>SECRETARIA GENERAL - DIRECCIÓN INFORMÁTICA</t>
  </si>
  <si>
    <t>Actividades desarrolladas para reconocimiento como IES- Registro SNIES</t>
  </si>
  <si>
    <t>Identificar  las  intensidades  horarias  reales  de  toda la oferta  académica  del CEA</t>
  </si>
  <si>
    <t>Denominar y  regularizar  los  espacios de formación  de acuerdo a la  Guía   “ Clasificación  de Espacios de Formación”</t>
  </si>
  <si>
    <t xml:space="preserve"> Aumentar los niveles de Seguridad de la Información en la Entidad.</t>
  </si>
  <si>
    <t>Formular e implementar el Plan de bienestar e incentivos</t>
  </si>
  <si>
    <t>Efectuar la modernización del régimen de contabilidad publica con base en las normas NICSP</t>
  </si>
  <si>
    <t>Medición del PNA considerando la funcionalidad de las capacidades de lo servicios</t>
  </si>
  <si>
    <t xml:space="preserve"> Número de intermediaciones realizadas, sobre casos presentados en los aeropuertos concesionados.</t>
  </si>
  <si>
    <t xml:space="preserve">Revisar los canales existentes de comunicación </t>
  </si>
  <si>
    <t xml:space="preserve">Cumplir la normatividad OACI en materia de certificación de programas académicos como Centro de Instrucción Aeronáutica </t>
  </si>
  <si>
    <t>Número de productos de investigación elaborados y en circulación</t>
  </si>
  <si>
    <t>Fortalecer el proceso de control asociado al cumplimiento de las obligaciones y el estado de los procesos incluyendo un control efectivo de los pagos de las obligaciones.</t>
  </si>
  <si>
    <t xml:space="preserve"># De sentencias o conciliaciones en contra de la Entidad / Numero de Resoluciones Cumplimiento fallo hasta la remisión de los documentos a la Dirección Financiera con el fin de efectuar el pago.  </t>
  </si>
  <si>
    <t xml:space="preserve"> Números de conceptos jurídicos unificados  emitidos Vs numero de conceptos jurídicos solicitados</t>
  </si>
  <si>
    <t>Gestión interinstitucional ANI/UAEAC</t>
  </si>
  <si>
    <t>Acciones ejecutadas vs acciones definidas</t>
  </si>
  <si>
    <t>Proyectos evaluados</t>
  </si>
  <si>
    <t>Proyectos estudiados / proyectos presentados bajo el nuevo procedimiento</t>
  </si>
  <si>
    <t xml:space="preserve">Identificar y analizar el uso de los medios de comunicación del servicio al cliente </t>
  </si>
  <si>
    <t>Elaborar el procedimiento y gestionar la evaluación de Proyectos Futuros APP/IP y Concesiones</t>
  </si>
  <si>
    <t xml:space="preserve">Índice de percepción </t>
  </si>
  <si>
    <t xml:space="preserve"> Gestionar la modernización y ampliación  de los sistemas CNS/MET/Energía de acuerdo con la normatividad OACI y el Plan de Navegación Aérea y el Plan Anual de Adquisiciones.</t>
  </si>
  <si>
    <t>Implementación AIDC y A-SMGCS Implementar el Sistema AIDC y A-SMGCS
(Gestión de los Servicios de Tránsito Aéreo – ATS)</t>
  </si>
  <si>
    <t>Actividades cumplidas sobre las actividades programadas anuales* 100</t>
  </si>
  <si>
    <t>Cantidad de aeropuertos internacionales en los que se ha implementado un procedimiento of APV con Baro VNAV aprobado VS total aeropuertos internacionales</t>
  </si>
  <si>
    <t>Elaborar procedimientos SID-PBN para los aeropuertos internacionales del país.</t>
  </si>
  <si>
    <t>Elaborar procedimientos STAR-PBN para los aeropuertos internacionales del país.</t>
  </si>
  <si>
    <t xml:space="preserve">Elaborar, legalizar e implementar documento guía  para uso flexible del espacio aéreo en Colombia.
2. Fortalecer las cartas de acuerdo y los procedimientos para el encaminamiento flexible. </t>
  </si>
  <si>
    <t>1. Porcentaje de tiempo en espacios aéreos segregados disponible para operaciones civiles
2. Porcentaje de rutas PBN implementadas</t>
  </si>
  <si>
    <t>EFICIENCIA DE OPERACIÓN EN TIEMPOS 
- Mejorar la eficiencia e incrementar la capacidad de los servicios a la navegación aérea y de los servicios aeroportuarios.
(AFLUENCIA DE TRANSITO AEREO Y CAPACIDAD - ATFCM)</t>
  </si>
  <si>
    <t>Cumplimiento de la implementación Posición OCS – FMU Colombia</t>
  </si>
  <si>
    <t>Fortalecer las herramientas de la comunicación externa e interna de la entidad</t>
  </si>
  <si>
    <t>Seguimiento a las actividades definidas de comunicación de forma mensual</t>
  </si>
  <si>
    <t>Herramienta de la comunicación fortalecida</t>
  </si>
  <si>
    <t xml:space="preserve">Avance de las actividades para fortalecer las herramientas de la comunicación </t>
  </si>
  <si>
    <t xml:space="preserve">Manual de políticas contables aprobado por la Alta Dirección </t>
  </si>
  <si>
    <t>Validación Trimestral de la Contaduría General de la Nación</t>
  </si>
  <si>
    <t xml:space="preserve">Numero de planes implementados vs. Numero de planes proyectados </t>
  </si>
  <si>
    <t>Planes a implementar en la entidad</t>
  </si>
  <si>
    <t>Cumplimiento en las políticas de Gobierno en Línea</t>
  </si>
  <si>
    <t>Avanzar en el cumplimiento de las políticas de Gobierno en Línea</t>
  </si>
  <si>
    <t>(# de actividades realizadas/# total de actividades de la política GEL) * 100</t>
  </si>
  <si>
    <t>Documento publicado y socializado de Política Anticorrupción.</t>
  </si>
  <si>
    <t>Construir y socializar la política anticorrupción de la Entidad</t>
  </si>
  <si>
    <t>Suministrar soluciones informáticas y sistemas de información adecuados para la ejecución de procesos de la Entidad en cumplimiento de sus objetivos.</t>
  </si>
  <si>
    <t>Adquisición, implementación o actualización de soluciones informáticas y/o  sistemas de información programados</t>
  </si>
  <si>
    <t>Nombre del indicador: Numero de proyectos de Estrategia y Gobierno de TI realizados.</t>
  </si>
  <si>
    <t>Como se calcula el indicador: Numero de proyectos de Estrategia y Gobierno de TI realizados conforme al alcance programado para la vigencia.</t>
  </si>
  <si>
    <t>Ejecutar estrategias, esquemas de gobernabilidad y modelos de gestión de TI, alineados con las estrategias de la Entidad a fin ejecutar los planes institucionales y apoyar el cumplimiento de los objetivos del sector.</t>
  </si>
  <si>
    <t>Sistema de Gestión de Seguridad de la Información – SGSI implementado en un proceso misional y Sensibilizaciones en Seguridad de la Información ejecutadas conforme a lo programado en la Estrategia de Sensibilización 2018.</t>
  </si>
  <si>
    <t>Número de procesos de soporte y mantenimiento ejecutados</t>
  </si>
  <si>
    <t>Corresponde a la cantidad de procesos ejecutados conforme a lo programado.</t>
  </si>
  <si>
    <t xml:space="preserve">Asegurar el soporte y mantenimiento a los componentes tecnológicos </t>
  </si>
  <si>
    <t>80% Cumplimiento del Programa de Inspección, vigilancia y control a los Proveedores de Servicios</t>
  </si>
  <si>
    <t>Alcanzar el cumplimiento del Programa de Inspección, Vigilancia y Control a los Proveedores de Servicios.</t>
  </si>
  <si>
    <t>Alcanzar el cumplimiento del Programa de Inspección, Vigilancia y Control a las empresas aeronáuticas y personal aeronáutico</t>
  </si>
  <si>
    <t>80% Cumplimiento del Programa de Inspección, vigilancia y control a las empresas aeronáuticas y personal aeronáutico</t>
  </si>
  <si>
    <t>80% Cumplimiento del Programa de Inspección, vigilancia y control  a los aeródromos, aeropuertos, servicios aeroportuarios, servicios ANS, facilitación y AVSEC</t>
  </si>
  <si>
    <t>Actualizar y fortalecer la reglamentación para la vigilancia de la Seguridad Operacional y de la Aviación Civil.</t>
  </si>
  <si>
    <t xml:space="preserve">GRUPO DE PRENSA DIRECCION GENERAL </t>
  </si>
  <si>
    <t>Formular e implementar el plan de reconocimiento a los mejores funcionarios de la entidad de manera mensual.</t>
  </si>
  <si>
    <r>
      <rPr>
        <b/>
        <sz val="10"/>
        <color indexed="8"/>
        <rFont val="Arial"/>
        <family val="2"/>
      </rPr>
      <t xml:space="preserve">Fuente </t>
    </r>
    <r>
      <rPr>
        <sz val="10"/>
        <color indexed="8"/>
        <rFont val="Arial"/>
        <family val="2"/>
      </rPr>
      <t>: Áreas Entidad y consolidado OAP.</t>
    </r>
  </si>
  <si>
    <t>Actividades desarrolladas Vs actividades programadas</t>
  </si>
  <si>
    <t>Plan estratégico de la comunicación que contribuya a mejorar el servicio al cliente</t>
  </si>
  <si>
    <t xml:space="preserve">Resaltar la política de comunicación mostrando los beneficios con los que cuenta la organización </t>
  </si>
  <si>
    <t xml:space="preserve">Diseñar la herramienta de comunicación para brindarle a los clientes internos y externos información eficiente y generar un mejor posicionamiento de la entidad </t>
  </si>
  <si>
    <t xml:space="preserve">Implementar la Política de prevención del daño antijurídico
</t>
  </si>
  <si>
    <t>Elaboración de manuales y guías</t>
  </si>
  <si>
    <t>Implementación del SID PBN/CDO</t>
  </si>
  <si>
    <t xml:space="preserve"> Aeropuertos Ejecutados Vs Aeropuertos programados</t>
  </si>
  <si>
    <t>POSICIÓN OCS – PDC SCORE
(AFLUENCIA DE TRANSITO AEREO Y CAPACIDAD - ATFCM)</t>
  </si>
  <si>
    <t>AFLUENCIA DE TRANSITO AEREO Y CAPACIDAD - ATFCM
IMPLEMENTACIÓN CONCEPTO OPERACIONAL ATFCM PARA COLOMBIA</t>
  </si>
  <si>
    <t xml:space="preserve">IMPLEMENTACIÓN CONCEPTO OPERACIONAL ATFCM PARA COLOMBIA
</t>
  </si>
  <si>
    <t>Índice de Gestión</t>
  </si>
  <si>
    <t>%=((PES/PPS)*0.3)+((PEI/PPI)*0.3)+((PEA/PPA)*0.2)+((PEM/PPM)*0.15)+(((PEO/PPO)*0.05)</t>
  </si>
  <si>
    <t>Coordinación, Revisión y Seguimientos en la Elaboración del Documento de Planificación Aeroportuaria.</t>
  </si>
  <si>
    <t>Gestión de la Etapa Precontractual - Firma Acta de Inicio - Desarrollar las Actividades establecidas en la Metodología de la Circular 053:Dos Aeropuertos Internacionales por Actualizar.</t>
  </si>
  <si>
    <t>Alcance Ejecutado/Alcance Programado (100*)</t>
  </si>
  <si>
    <t>Estadísticas de mantenimiento</t>
  </si>
  <si>
    <t>Obtener  la estadística real del mantenimiento por área funcional y por equipo en SIGMA.</t>
  </si>
  <si>
    <t>Articulación de las circulares técnicas emitidas por la SSO, con el sistema de información SIGMA.</t>
  </si>
  <si>
    <t>Actualizar la política, el plan de implementación y manual de seguridad operacional</t>
  </si>
  <si>
    <t>(No. de documentos elaborados / No. de documentos proyectados) * 100</t>
  </si>
  <si>
    <t>Analizar la política el texto de política</t>
  </si>
  <si>
    <t>Elaborar base de datos para control, análisis y administración del información</t>
  </si>
  <si>
    <t>Índice de Socialización de SMS-QA</t>
  </si>
  <si>
    <t>Realizar documento genérico para ser adoptado en los aeropuertos del País, que permita dar cumplimento a la normatividad y los que lo requieran puedan ser objeto de Certificación</t>
  </si>
  <si>
    <t>Trabajar específicamente en los aeropuerto de Bucaramanga y Cúcuta</t>
  </si>
  <si>
    <t>Armonizar los estándares y reglamentación del SMS para integrarlo al sistema integrado de Gestión de la Entidad</t>
  </si>
  <si>
    <t>Fortalecer y reposicionar el sistema de gestión de la calidad en relación con el nuevo modelo integrado de planeación y gestión MIPG</t>
  </si>
  <si>
    <t>Cronograma y Plan de Actividades</t>
  </si>
  <si>
    <t>DIRECCIÓN GENERAL</t>
  </si>
  <si>
    <t>Grupo Prensa</t>
  </si>
  <si>
    <t>OFICINA TRANSPORTE AÉREO</t>
  </si>
  <si>
    <t>OFICINA CENTRO ESTUDIOS AERONAÚTICOS</t>
  </si>
  <si>
    <t>OFICINA COMERCIALIZACIÓN</t>
  </si>
  <si>
    <t>Despacho</t>
  </si>
  <si>
    <t>Direc Telecomunicaciones</t>
  </si>
  <si>
    <t>Direc Infraestructura Aeroportuaria</t>
  </si>
  <si>
    <t>Direc Servicios a la Navegación Aérea</t>
  </si>
  <si>
    <t>Direc Servicios Aeroportuarios</t>
  </si>
  <si>
    <t>Grupo Proyectos</t>
  </si>
  <si>
    <t>OFICINA REGISTRO</t>
  </si>
  <si>
    <t>Grupo Coordinación Seguimiento Servicios  Operacionales</t>
  </si>
  <si>
    <t>Grupo Trabajo SMS AQ</t>
  </si>
  <si>
    <t>SECRETARIA GENERAL</t>
  </si>
  <si>
    <t>Dirección Financiera</t>
  </si>
  <si>
    <t>Dirección Administrativa</t>
  </si>
  <si>
    <t>Dirección Talento Humano</t>
  </si>
  <si>
    <t>Dirección Informática</t>
  </si>
  <si>
    <t>COMPROMISOS TRANSVERSALES</t>
  </si>
  <si>
    <t xml:space="preserve">ÁREA </t>
  </si>
  <si>
    <t>COMPROMISOS ESTRATÉGICOS Y/O ACCIONES 2018</t>
  </si>
  <si>
    <t xml:space="preserve">METAS </t>
  </si>
  <si>
    <t>METAS COMPARTIDAS</t>
  </si>
  <si>
    <t>SE VA A REFORMULAR</t>
  </si>
  <si>
    <t xml:space="preserve"> OBSERVACIONES </t>
  </si>
  <si>
    <t xml:space="preserve">OFICINA DE COMERCIALIZACIÓN </t>
  </si>
  <si>
    <t>SECRETARIA SEGURIDAD OPERACIONAL DE LA AVIACIÓN CIVIL</t>
  </si>
  <si>
    <t xml:space="preserve">TOTAL </t>
  </si>
  <si>
    <t>METAS CUMPLIDAS</t>
  </si>
  <si>
    <t>SE ANALIZARA UNO DE ELLOS
 (2 SSOAC Y 1 COMERCIALIZACIÓN)</t>
  </si>
  <si>
    <t>AJUSTANDO  (OAP)</t>
  </si>
  <si>
    <t>(1 OTA Y 1 OAP )</t>
  </si>
  <si>
    <t>( 2 OTA)</t>
  </si>
  <si>
    <t>FORTALECIMIENTO ORGANIZACIONAL Y SIMPLIFICACIÓN DE PROCESO</t>
  </si>
  <si>
    <t>Consolidar y fortalecer  la coordinación interinstitucional ANI/UAEAC</t>
  </si>
  <si>
    <t>Fortalecer la gestión y eficiencia institucional</t>
  </si>
  <si>
    <t>Depuración del Registro Aeronáutico Nacional, de 50 matriculas de aeronaves  en condición de inactividad mayor a  tres (3) años</t>
  </si>
  <si>
    <t># de matriculas depuradas / # de matriculas programadas para depuración</t>
  </si>
  <si>
    <t>OFICINA DE REGISTRO GRUPO DE MATRICULAS</t>
  </si>
  <si>
    <t>Identificar aeronaves con matriculas  inscritas  en el Registro Aeronáutico Nacional  en condición de inactividad mayor a tres (3) años</t>
  </si>
  <si>
    <t>Iniciar actuación administrativa notificando al último propietario y/o explotador registrado, dándole un mes para hacerse parte y hacer valer sus derechos.</t>
  </si>
  <si>
    <t xml:space="preserve">Informe y seguimiento por matricula a la que se inició acto administrativo, determinar si procede la cancelación de la matricula colombiana.  </t>
  </si>
  <si>
    <t>Si procede la cancelación, elaborar resolución y una vez ejecutoriada alimentar aplicativo SIGA y digitalizar el expediente en la herramienta mercurio dando cumplimiento ley de archivo.</t>
  </si>
  <si>
    <t>Porcentaje de avance del Plan de auditorías combinadas</t>
  </si>
  <si>
    <t xml:space="preserve">Auditorías combinadas realizadas/Total Auditorías combinadas programadas </t>
  </si>
  <si>
    <t xml:space="preserve">
Ejecutar el Plan de Auditoría mediante enfoque unificado de auditorías a los Sistemas de Gestión, coordinando los alcances y tiempos de ejecución para optimizar el uso de los recursos, reducir el impacto en la operación y generar informes integrales, bajo criterios de auditorías combinadas con énfasis en productos y servicios. </t>
  </si>
  <si>
    <t>PLAN DE ACCIÓN 2018 GRUPO DE GESTIÓN DE LA SEGURIDAD OPERACIONALY ASEGURAMIENTO DE LA CALIDAD</t>
  </si>
  <si>
    <t>Función</t>
  </si>
  <si>
    <t>META</t>
  </si>
  <si>
    <t>Indicador (KPI)</t>
  </si>
  <si>
    <t>Actividades o Acciones para el cumplimiento de la meta</t>
  </si>
  <si>
    <t>REVISIÓN PRIMER TRIMESTRE  2018</t>
  </si>
  <si>
    <t>enero</t>
  </si>
  <si>
    <t>febrero</t>
  </si>
  <si>
    <t>marzo</t>
  </si>
  <si>
    <t>abril</t>
  </si>
  <si>
    <t>mayo</t>
  </si>
  <si>
    <t>junio</t>
  </si>
  <si>
    <t>julio</t>
  </si>
  <si>
    <t>agosto</t>
  </si>
  <si>
    <t>septiembre</t>
  </si>
  <si>
    <t>octubre</t>
  </si>
  <si>
    <t>noviembre</t>
  </si>
  <si>
    <t>diciembre</t>
  </si>
  <si>
    <t>individual</t>
  </si>
  <si>
    <t>Promedio</t>
  </si>
  <si>
    <t>20180406 : Se trabaja directamente con el Ingeniero CARLOS MAURICIO GUEVARA - Coordinador del Grupo SMS, con quien se realizo el seguimiento y sus evidencias se encuentran directamente en el Despacho del Grupo de SMS.</t>
  </si>
  <si>
    <t>Diseño y actualización del Sistema de Gestión de Seguridad Operacional y Aseguramiento de la Calidad</t>
  </si>
  <si>
    <t>Actualizar la politica, el plan de implementación y manual de seguridad operacional</t>
  </si>
  <si>
    <t xml:space="preserve">% De Seguimiento 
</t>
  </si>
  <si>
    <t>Grupo de trabajo SMS-QA</t>
  </si>
  <si>
    <t>Analizar la politica el texto de politica</t>
  </si>
  <si>
    <t>Generar documento de plan de implementación-Capitulos</t>
  </si>
  <si>
    <t>Generar Manual del Sistema de Gestión de la Seguridad Operacional-Capitulos</t>
  </si>
  <si>
    <t>Administrar y mantener actualizada la información</t>
  </si>
  <si>
    <t>Elaborar base de datos para control, analisis y administración del información</t>
  </si>
  <si>
    <t>1 Base de Datos</t>
  </si>
  <si>
    <t>Cumple / No Cumple</t>
  </si>
  <si>
    <t>1 / 1</t>
  </si>
  <si>
    <t>Difusión del sistema de Gestión de la Seguridad Operacional</t>
  </si>
  <si>
    <t>30 Contactos</t>
  </si>
  <si>
    <t xml:space="preserve">% De Seguimiento </t>
  </si>
  <si>
    <t xml:space="preserve"> Participar y orientar sobre el sistema de gestión</t>
  </si>
  <si>
    <t>A partir del desarrollo de los documentos y esquema de participación con los actores</t>
  </si>
  <si>
    <t>NA</t>
  </si>
  <si>
    <t>Socialización</t>
  </si>
  <si>
    <t>Trabajo en el SMS de los aeropuertos de Bucaramanga y Cucuta, para el proceso de certificación</t>
  </si>
  <si>
    <t>Actualizar y elaborar el SMS  para los aeropuertos a cargo de la Aeronáutica Civil a nivel   nacional  que permita dar cumplimento a la normatividad y los que lo requieran puedan ser objeto de Certificación</t>
  </si>
  <si>
    <t>2 SMS Aeropuerto</t>
  </si>
  <si>
    <t>(No. De aeropuertos con MS Aprobado  / No. Aeropuertos Proyectados ) * 100</t>
  </si>
  <si>
    <t>Realizar documento generico para ser adoptado en los aeropuertos del Pais</t>
  </si>
  <si>
    <t>Trabajar especificamente en los aeropuerto de Bucaramanga y Cucuta</t>
  </si>
  <si>
    <t>Apropiación y mantenimiento del Sistema de Gestión de la Seguridad Operacional y Aseguramiento de la Calidad</t>
  </si>
  <si>
    <t>Cumplir los estándares y reglamentación trabajada para tal fin</t>
  </si>
  <si>
    <t>1 Cumplimiento Global</t>
  </si>
  <si>
    <t xml:space="preserve">20% Se inicia trabajo con la OAP - GOYCA para comenzar la ingración </t>
  </si>
  <si>
    <t>Se da a partir de la socialización del sistema de gestión de seguridad operacional</t>
  </si>
  <si>
    <t>Evaluación de los reportes y estudios de seguridad operacional</t>
  </si>
  <si>
    <t xml:space="preserve">1R TRIMESTRE </t>
  </si>
  <si>
    <t xml:space="preserve">MERTAS CUMPLIDAS </t>
  </si>
  <si>
    <t>OBSERVACIONES AREA - OAP</t>
  </si>
  <si>
    <t>Obtener  la estadística real del mantenimiento por área funcional y por equipo en SIGMA. (Ordenes Generadas aprox.8,000)</t>
  </si>
  <si>
    <t>Articulación de las circulares técnicas emitidas por la SSO, con el sistema de información SIGMA.(No.73)</t>
  </si>
  <si>
    <t>OBSERVACIONES AREA</t>
  </si>
  <si>
    <t>INDIV</t>
  </si>
  <si>
    <t>PROMEDIO</t>
  </si>
  <si>
    <t>OBSERVACIONES OAP</t>
  </si>
  <si>
    <t>En revisión de documentación y entregables del proyecto</t>
  </si>
  <si>
    <t xml:space="preserve">Adquirir, implementar y colocar en funcionamiento de aplicaciones auxiliares o complementarias para apoyar los procesos financieros y administrativos no contemplados en el sistema SIIF Nación .  una
</t>
  </si>
  <si>
    <t xml:space="preserve">Adquirir, implementar y colocar en funcionamiento soluciones informáticas para la gestión y tratamiento integral de las PQRD de la Entidad. una
</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</si>
  <si>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abril/2018.</t>
  </si>
  <si>
    <t xml:space="preserve">Análisis, diseño e implementación de solución tecnológica para el Sistema de  Gestión Documental y modelo de colaboración en Intranet.
 Fase I  (Trámite vigencia futura II , Fase I: .Análisis. Vigencia 2018)  una
</t>
  </si>
  <si>
    <t>EN ESTUDIOS PREVIOS PARA TRAMITE DE VF</t>
  </si>
  <si>
    <t xml:space="preserve">EN ESTUDIOS PREVIOS Y DE MERCADO. </t>
  </si>
  <si>
    <t>SE PRESENTA ESTUDIO EN COMITÉ DE MODIFICACIONES AL PAA Y SE APRUEBA AVANZAR EN LA ADQUISICION DE EQUIPOS EN MODALIDAD DE COMPRA MEDIANTE AMP - CCE. SE ESTA EN CONFORMACION DE DOCUMENTOS PARA DAR  INICIO AL EVENTO DE COMPRA.</t>
  </si>
  <si>
    <t>EN ESTUDIOS PREVIOS.  Se levanta información para establecer e identificar prioridades y necesidades detalladas  para  renovar u optimizar Switches y equipos para administración de la red. Se realizó etapa inicial de definición de especificaciones técnicas de los equipos para cambio en algunos aeropuertos.</t>
  </si>
  <si>
    <t>SE REALIZA COMPRA MEDIANTE AMP - CCE MICROSOFT II; VALOR ADJUDICADO: $1.398.463.395.
EN ESTUDIOS PREVIOS  Y CONFORMACION DE DOCUMENTOS PRECONTRACTUALES para adquirir licencias de software ESPECÍFICO</t>
  </si>
  <si>
    <t>C P MARZO</t>
  </si>
  <si>
    <t>Avance en el diario del Grupo de Seguridad - Evidencias directamente en el Despacho del Grupo</t>
  </si>
  <si>
    <t>Contrato en ejecución por CCE hasta el 31 de diciembre de 2018</t>
  </si>
  <si>
    <t>Contrato en ejecución hasta el 21 de diciembre de 2018</t>
  </si>
  <si>
    <t>Proceso de soporte a  seguridad perimetral radicado en la Dirección Administrativa para trámite precontractual.
Proceso de soporte a balanceadores en estudio de mercado.</t>
  </si>
  <si>
    <t>METAS   6</t>
  </si>
  <si>
    <t>PRIMER TRIM 2018</t>
  </si>
  <si>
    <t>CUMPL METAS 0</t>
  </si>
  <si>
    <t>CUMPL ACTIVIDADES</t>
  </si>
  <si>
    <t>PRIMER TRIMESTRE 2018</t>
  </si>
  <si>
    <t>Mediante mesas de trabajo con Secretarios y Directores de Área y Direcciones Regioanels Aeronáuticas se definieron lineamientos.  Completo para todo la vigencia</t>
  </si>
  <si>
    <t>20180410 Se realiza seguimeinto drectamente con el área (Ing. Abel Torres)</t>
  </si>
  <si>
    <t xml:space="preserve">Con los lineamientos de las mesas de trabajo se elaboraron guías de acción por procesos. Se elaboró documento borrador el cual fue enviado a Secretario, Directores de Área, Jefes de Oficina y Directores Regionales para su pronunciamiento. </t>
  </si>
  <si>
    <t xml:space="preserve"> Recibidas las observaciones de los actores se procedió a  ajustar el Documento.  Se encuentra para revisión del Director General.</t>
  </si>
  <si>
    <t>Pendiente de las instrucciones impartidas por el Señor Director General.</t>
  </si>
  <si>
    <t>META      1</t>
  </si>
  <si>
    <t xml:space="preserve">CUMP OAP  </t>
  </si>
  <si>
    <t>CUMP ÁREA   :    83%</t>
  </si>
  <si>
    <t>OBSERVA AREA VS OAP</t>
  </si>
  <si>
    <r>
      <t xml:space="preserve">Se presento informe ejecutivo, el cual es realizado de forma mensual y trimestral, gestionando   las tareas que se pueden ir solucionando y cerrando.
</t>
    </r>
    <r>
      <rPr>
        <b/>
        <sz val="10"/>
        <color indexed="8"/>
        <rFont val="Arial"/>
        <family val="2"/>
      </rPr>
      <t/>
    </r>
  </si>
  <si>
    <r>
      <t xml:space="preserve">Mensualmente se van gestionando las tareas pendientes y se van cerrando.  (Sobre 13 - Cerradas 13)
</t>
    </r>
    <r>
      <rPr>
        <b/>
        <sz val="10"/>
        <color indexed="8"/>
        <rFont val="Arial"/>
        <family val="2"/>
      </rPr>
      <t/>
    </r>
  </si>
  <si>
    <t>Se esta realizando balance del desarrollo del convenio donde se  revisaran los aspectos a mejorar o complementar el 15  de abril, para  presentar un proyecto el 30 de  abril convocando  una mesa de trabajo  y suscribirlo el 30 de mayo.</t>
  </si>
  <si>
    <t xml:space="preserve">Se realizaran 4 visitas en el primer semestre  las cuales comienzan en abril y 4 en el segundo semestre, se anexa cronograma  </t>
  </si>
  <si>
    <t xml:space="preserve">CUMP </t>
  </si>
  <si>
    <t>CUMP OAP   24%</t>
  </si>
  <si>
    <t>METAS</t>
  </si>
  <si>
    <t>OBSERVACION AREA VS OAP</t>
  </si>
  <si>
    <t>Se definio con la Dirección General y la OAP el alcance de la fromulacion de los proyectos. Se tiene iniciado el Plan de trabajo con la contratista. Se esta revisando el primer proyecto para poder incluir en la MGA</t>
  </si>
  <si>
    <t>Incorporación de otros proyectos acordados a  la MGA</t>
  </si>
  <si>
    <t>Se ha planeado, preparado y se llevara a cabo el evento del FORO los  dias 9 y 10 de abril de 2018.</t>
  </si>
  <si>
    <t>METAS   : 5</t>
  </si>
  <si>
    <t>PRIMER TRIMESTRE</t>
  </si>
  <si>
    <t>ACTIVIDADES :  15</t>
  </si>
  <si>
    <t xml:space="preserve">IND </t>
  </si>
  <si>
    <t>OBSERVACIONE AEREA VS OAP</t>
  </si>
  <si>
    <t xml:space="preserve"> Proyectos Radicados GGPA
 Proyectos viabilizados
</t>
  </si>
  <si>
    <t xml:space="preserve">De 24 proyectos radicados por las áreas se verificaron con el PNA, PAA, PEI </t>
  </si>
  <si>
    <t>Revisar los proyectos radicados GGPA
Gestionar CDP para los proyectos viabilizados
Radicar en la Dirección administrativa los proyectos viabilizados</t>
  </si>
  <si>
    <t>CUMP OAP      24,5%</t>
  </si>
  <si>
    <t>CUMP 98%</t>
  </si>
  <si>
    <t>METAS 1</t>
  </si>
  <si>
    <t>% indiv</t>
  </si>
  <si>
    <t>OBSERVACIONES AREAS VS OAP</t>
  </si>
  <si>
    <t xml:space="preserve"> Elaboración del Manual AIDC - (Elaboración manuales guías Y SOP´s  AIDC Y A-SMGCS)</t>
  </si>
  <si>
    <t>Se realiza ajuste a las actividades las cuales se comunicaran al Jefe de la OAP de todos los compromisos</t>
  </si>
  <si>
    <t>Elaboración manual SMGCS - ( Entrenamiento controladores AIDC y A-SMGCS )</t>
  </si>
  <si>
    <t xml:space="preserve"> Elaborar Procedimiento Aeropuerto No.1 (Planificación para el diseño de las cartas aeronáuticas para los aeropuertos internacionales)</t>
  </si>
  <si>
    <t>Barranquilla, Cartagena, Santa Marta y Rionegro</t>
  </si>
  <si>
    <t xml:space="preserve"> Elaborar Procedimiento Aeropuerto No.2  (Diseño y comprobación de las cartas aeronáuticas)</t>
  </si>
  <si>
    <t xml:space="preserve"> Elaborar Procedimiento Aeropuerto No3 (Publicación e implementación)</t>
  </si>
  <si>
    <t xml:space="preserve"> Elaborar Procedimiento Aeropuerto No4</t>
  </si>
  <si>
    <t xml:space="preserve"> Elaborar Procedimiento Aeropuerto No.1  (Planificación para el diseño de las cartas aeronáuticas para los aeropuertos internacionales y diseño CCO</t>
  </si>
  <si>
    <t>Cali, Cúcuta, Bucaramanga y  Riohacha</t>
  </si>
  <si>
    <t xml:space="preserve"> Elaborar Procedimiento Aeropuerto No.2 ( Elaborar Procedimiento Aeropuerto No.2 (Diseño y comprobación de las cartas aeronáuticas)</t>
  </si>
  <si>
    <t xml:space="preserve"> Elaborar Procedimiento Aeropuerto No.3 (Elaborar Procedimiento Aeropuerto No.3 (Publicación e implementación) </t>
  </si>
  <si>
    <t xml:space="preserve"> Elaborar Procedimiento Aeropuerto No.4</t>
  </si>
  <si>
    <t xml:space="preserve"> Elaborar Procedimiento Aeropuerto No.1 - (Planificación para el diseño de las cartas aeronáuticas para los aeropuertos internacionales y diseño CCO)</t>
  </si>
  <si>
    <t xml:space="preserve">x </t>
  </si>
  <si>
    <t>Cúcuta, Rionegro, Bucaramanga y Riohacha</t>
  </si>
  <si>
    <t xml:space="preserve"> Elaborar Procedimiento Aeropuerto No.2 (Diseño y comprobación de las cartas aeronáuticas)</t>
  </si>
  <si>
    <t xml:space="preserve"> Elaborar Procedimiento Aeropuerto No.3 Publicación e implementación </t>
  </si>
  <si>
    <t xml:space="preserve">
Elaborar documento FUA (Planificación para el diseño del documento  y diseño de rutas )
</t>
  </si>
  <si>
    <t>Se esta ajustando formula del indicador ya que la meta esta dividida en dos.</t>
  </si>
  <si>
    <t>Rutas PBN implementadas (Recolección y análisis de la información)</t>
  </si>
  <si>
    <t xml:space="preserve">3 rutas </t>
  </si>
  <si>
    <t>Estudio de Rendimiento de la CDM  - NO</t>
  </si>
  <si>
    <t xml:space="preserve">Validación e implantación de la CDM - NO </t>
  </si>
  <si>
    <t>Puesta en marcha, mantenimiento y mejora continua de la CDM - NO</t>
  </si>
  <si>
    <t>Solicitará cambio del indicador "% avance transición" - Formula Actividades Ejecutadas Vs Actividades programadas)</t>
  </si>
  <si>
    <t>Etapa digital (Nombramiento de personal AIM)</t>
  </si>
  <si>
    <t xml:space="preserve">
Capacitación en el manejo de la herramienta  NO
</t>
  </si>
  <si>
    <t>Se solicitara a la OAP el ajuste de actividades debido a la dimensión del tema</t>
  </si>
  <si>
    <t>Adquisición y puesta en funcionamiento de una herramienta tecnológica para el desarrollo de este proceso. NO</t>
  </si>
  <si>
    <t>Capacitación.  NO</t>
  </si>
  <si>
    <t>METAS   : 10</t>
  </si>
  <si>
    <t>ACTIVIADES 30</t>
  </si>
  <si>
    <t>CUMPLIMIENTO 62%</t>
  </si>
  <si>
    <t>CUMP OAP</t>
  </si>
  <si>
    <t xml:space="preserve">INDIV </t>
  </si>
  <si>
    <t>META   1</t>
  </si>
  <si>
    <t>CUMP : 67,6%</t>
  </si>
  <si>
    <t>AVANCE ACUMULADO</t>
  </si>
  <si>
    <t>P</t>
  </si>
  <si>
    <t>E</t>
  </si>
  <si>
    <t xml:space="preserve">PROMEDIO </t>
  </si>
  <si>
    <t>OBSERVACIONES AREA VS OAP</t>
  </si>
  <si>
    <t>META       1</t>
  </si>
  <si>
    <t>CUMP  93%</t>
  </si>
  <si>
    <t>CUMP OAP   : 23,3</t>
  </si>
  <si>
    <t xml:space="preserve">OBSERVA AREA </t>
  </si>
  <si>
    <t>OBSERVA OAP</t>
  </si>
  <si>
    <t>CUMP 96%</t>
  </si>
  <si>
    <t xml:space="preserve">LAS ACTIVIDADES DE MODERNIZACIÓN Y MEJORAMIENTO DEL EQUIPAMIENTO DE SEGURIDAD, SEI Y SANIDAD, AL IGUAL QUE LA DE MINIMIZAR EL IMPACTO AMBIENTAL SE LOGRARAN CON LA PUESTA EN FUNCIONAMIENTO  A TRAVÉS DE  LOS PROYECTOS DE INVERSIÓN EN LOS QUE EL ÁREA Y QUE REFLEJAN EL AVANCE ALCANZADO. </t>
  </si>
  <si>
    <t>Medición del PNA considerando la funcionalidad de las capacidades de los servicios</t>
  </si>
  <si>
    <t>METAS PLAN NAVEGACIÓN AÉREA</t>
  </si>
  <si>
    <t>META  1</t>
  </si>
  <si>
    <t>Mejoramiento del flujo de transito en pistas mediante secuencia AMAN/DMAN</t>
  </si>
  <si>
    <t>Seguridad Operacional y eficiencia en operaciones de superficie (A_SMGCS Nivel 1-2)</t>
  </si>
  <si>
    <t>Operaciones aeroportuarias mediante CDM a nivel aeropuerto (ACDM)</t>
  </si>
  <si>
    <t>Mayor interoperabilidad, eficiencia y capacidad mediante la integración tierra-tierra Apoya la coordinación de la comunicación de datos tierra-tierra entre las ATSU, con base en la comunicación de datos entre instalaciones ATS (AIDC), según se define en el Manual de aplicaciones de enlace de datos para los servicios de tránsito aéreo (Doc 9694) de la OACI.</t>
  </si>
  <si>
    <t>Mejoramiento de los servicios mediante gestión de la información aeronáutica digital Introducción inicial del procesamiento y la gestión de la información digitales mediante la implantación de los AIS/AIM empleando el AIXM, dirigiéndose hacia la AIP electrónica y una mejor calidad y disponibilidad de datos.</t>
  </si>
  <si>
    <t>Mejoras operacionales mediante trayectorias en ruta mejoradas</t>
  </si>
  <si>
    <t>Capacidad inicial de vigilancia ADS-B OUT, MLAT</t>
  </si>
  <si>
    <t>Mejoramiento del ACAS</t>
  </si>
  <si>
    <t>Efectividad incrementada de las redes de seguridad operacional basadas en tierra.</t>
  </si>
  <si>
    <t>Mayor flexibilidad y eficiencia en los perfiles de descenso (CDO)</t>
  </si>
  <si>
    <t>Mayor flexibilidad y eficiencia en los perfiles de salida (CCO)</t>
  </si>
  <si>
    <t>Mayor seguridad operacional y eficiencia mediante la aplicación inicial de servicios en ruta de enlace de datos.</t>
  </si>
  <si>
    <t xml:space="preserve">CUMP OAP       </t>
  </si>
  <si>
    <t xml:space="preserve">CUMP AREA    </t>
  </si>
  <si>
    <t>OBSERVACIONES ARES VS OAP</t>
  </si>
  <si>
    <t>C = 38,4% 
O = 18,1%</t>
  </si>
  <si>
    <t>C 41,4%
O 18,9%</t>
  </si>
  <si>
    <t>Soporte es la ejecución SIIF</t>
  </si>
  <si>
    <t xml:space="preserve">MECI  : 41 DE 876 (Rta 4,7%)
</t>
  </si>
  <si>
    <t>CGR 21 DE 134</t>
  </si>
  <si>
    <t>META          1</t>
  </si>
  <si>
    <t>CUMP TRANSVERSAL 40,0%</t>
  </si>
  <si>
    <t xml:space="preserve">EJECUCION </t>
  </si>
  <si>
    <t>Mediante Resolución No. 2909 del 21 de febrero de 2018, el Ministerio de Educación Nacional, MEN, se autoriza  la asignación del código  SNIES   y  autoriza al Centro de Estudios Aeronáuticos-CEA de la Aerocivil, la posibilidad de ofrecer y desarrollar programas académicos de educación superior, soportados en las políticas de gestión de la educación acorde a lo establecido en la Ley 105 de 1993, en el artículo 137 de la ley 30 1992. 
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</si>
  <si>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Acorde con las observaciones verbales que hemos recibido de esa dependencia.  El proyecto  de adición a la certificación CIA de la Secretaría de Seguridad Operacional y de la Aviación Civil del curso BÁSICO CONTROL APROXIMACIÓN Y ÁREA POR PROCEDIMIENTOS  será radicado formalmente la presente semana y quedaríamos a la espera de las observaciones finales que se puedan presentar y de la aprobación del mismo.</t>
  </si>
  <si>
    <t>CUMP 84%</t>
  </si>
  <si>
    <t>Se realizo seguimiento con base en la información remitida de acuerdos de gestión</t>
  </si>
  <si>
    <t xml:space="preserve">Inicialmente es importante aclarar el significado de las siglas del indicador:
PE: Proyectos Ejecutados
PP: Proyectos Programados
Indicador de cumplimiento para el 2018:  85%
Estos significados son aplicables para la medición del indicador el 31 de diciembre de 2018; sin embargo para la evaluación del primer trimestre del 2018 y considerando que ninguno de los proyectos incluidos en el PAA 2018 se encuentra en ejecución, se hace necesario medir la gestión de la Dirección de Telecomunicaciones y Ayudas a la Navegación Aérea para lo cual se interpretará de la siguiente manera:
PE: Proyectos elaborados (un proyecto se considera elaborado cuando ha sido radicado y aprobado en la Secretaria de Sistemas Operacionales) 
PP: Proyectos Programados
Es de anotar que de la misma manera se tuvo en cuenta el valor asignado a las actividades incluidas en el Plan de Acción, al mes de marzo “Monitorear el desarrollo de la etapa precontractual” que corresponde al 50%.
Teniendo en cuenta lo anterior se realizó la evaluación del avance del indicador aplicando la fórmula, que da por resultado 27% de avance, el cual debe ser medido frente al 50% esperado para estas actividades en el primer trimestre.
NOTA:  Se revisó y ajustó el número de proyectos estratégicos considerados inicialmente por cuanto incluían contratos con VF aún en ejecución 
</t>
  </si>
  <si>
    <t>OBSERVACIÓN OAP</t>
  </si>
  <si>
    <t>IND</t>
  </si>
  <si>
    <t>Gestión del Proceso Precontractual. Coordinación, Revisión y Seguimientos en la Elaboración del Documento de Planificación Aeroportuaria.</t>
  </si>
  <si>
    <t>META : 4</t>
  </si>
  <si>
    <t>CUMP   95,5%</t>
  </si>
  <si>
    <t>CUMPL OAP  23,9%</t>
  </si>
  <si>
    <t>- Esta para firma del señor Director el nuevo procedimiento de audiencia pública modificando los numerales 3.6.3.2.5 y 3.6.3.2.6
- Se presentó al Consejo Directivo de la UAEAC el 14 de febrero de 2018 la propuesta de ajuste de política aérea internacional y se encuentra pendiente de aprobación por parte del alto gobierno.
- Se está elaborando el proyecto de flexibilización del acceso al mercado doméstico (clasificación de las actividades de aviación civil), documento que será entregado el día 6 de marzo del presente año.
Actualmente se estan armonizando los RAC con las LAR. De un total de 37 LAR se han armonizado 28 lo que equivale a un 75.6% a la fecha.  
La meta es que al mes de julio se haya alcanzado un 90%, sin embargo, es probable que a esa fecha se llegue a un 96%.
Es de anotar que que la modificación del RAC 3 estará lista para el mes de julio.
OAP : El area debe contemplar la primera actividad que es un cronograma. (Se debe evidenciar)</t>
  </si>
  <si>
    <t>CUMP 88%</t>
  </si>
  <si>
    <t>CUMP OAP   22%</t>
  </si>
  <si>
    <t>AJUSTES ACTIVIDADES</t>
  </si>
  <si>
    <t>(Actividades realizadas/Actividades programadas)*100</t>
  </si>
  <si>
    <t>Revisión y actualización del contexto estratégico</t>
  </si>
  <si>
    <t>Identificación, análisis, valoración y evaluación del riesgo</t>
  </si>
  <si>
    <t>Análisis y evaluación de los controles</t>
  </si>
  <si>
    <t>Socialización y publicación</t>
  </si>
  <si>
    <t>Participar de las capacitaciones generadas por el DAFP y OCI</t>
  </si>
  <si>
    <t>En este primer trimestre de 2018, se realizó la evaluación del Sistema Integrado de gestión por el FURAG y se participó en dos capacitaciones de MIPG programadas por el DAFP.</t>
  </si>
  <si>
    <t>Participar en la definición del cronograma de implementeción del MIPG de la entidad.</t>
  </si>
  <si>
    <t xml:space="preserve">Desarrollar las actividades que le sean asignadas en el cronograma de implementación del MIPG </t>
  </si>
  <si>
    <t>Parametrización</t>
  </si>
  <si>
    <t>Migración</t>
  </si>
  <si>
    <t>Capacitación</t>
  </si>
  <si>
    <t>CUMPL :    95%</t>
  </si>
  <si>
    <t>- El 1 de marzo se sostuvo una reunión con OCEI, ANI y los Concesionarios Aeroportuarios para definir parámetros de coordinación de la parte operativa en apoyo a la atención al usuario.
- El lunes 5 de marzo se llevó a cabo una segunda reunión con la Dirección de Protección de la SIC área encargada manejar el aplicativo SIC FACILITA, en dicha reunión la directora del programa Ana Maria Mesa explicó los antecedentes del programa, su estructuración, la puesta en marcha y evolución a la fecha, adicionalmente se resolvieron diferentes inquietudes en cuanto a la posibilidad de adaptar una plataforma similar para el sector de transporte aéreo.
- El 12 de marzo se realizó reunión de socialización con la industria para explicar las diferentes iniciativas que se están adelantando en referencia a la supervisión inteligente del transporte aéreo, entre ellas se mencionaron las siguientes: 1. Resolución de medidas de descongestión para conductas relacionadas con la seguridad aeroportuaria y la protección al usuario 2. Resolución de instancias de reclamación 3. Plataforma Virtual de Atención al Usuario para conductas especificas relacionadas con la protección al usuario (Adaptar modelo de la SIC) 4. Jornadas de capacitación y socialización al personal de aerolíneas y operadores aeroportuarios sobre temas de atención al usuario y reportes de seguridad aeroportuaria (cronograma definido) 5. Coordinación con los concesionarios de los principales aeropuertos para el apoyo en la parte operativa 6. Reestructuración del Régimen Sancionatorio RAC 13 con enfoque de vigilancia preventiva.
- Los días 14 y 15 de marzo se desarrolló una tercera reunión con personal de la Superintendencia de Industria y Comercio específicamente con el ingeniero consultor Fabio Correa Vega, encargados del desarrollo técnico y estructuración de la plataforma, en dicha reunión se exploró el paso a paso del funcionamiento de la plataforma y la definición de los parámetros técnicos que se deben tener en cuenta para la adaptación de las mismas a las necesidades de Atención al Usuario de la UAEAC y se determinaron los plazos para su estructuración
- El martes 27 de marzo de 2018, se llevo a cabo una reunión con la empresa IUTUM, para recibir por parte de ellos también una propuesta de un software que se adapte a las necesidades requeridas, en esta reunión se acordó la realización de una nueva reunión con la firma que elaboró la plataforma de (SIC facilita), con el fin de conocer y tratar temas de aspecto técnico de la plataforma ofrecida, temas de integración e interoperabilidad y lo relacionado con la infraestructura de TI requerida, dicha reunión se realizara el 9 de abril en la OTA. 
OAP El area comenta que como es semestral no aplica seguimiento.  En coordinación con la Oficina de Comercialización solicitaran al Jefe de la OAP el ajuste del compromiso para ser llevado a Comité Directivo.</t>
  </si>
  <si>
    <t xml:space="preserve">OBSERVACION  AREA </t>
  </si>
  <si>
    <t xml:space="preserve">Se adjunta relación ejecución de inspecciones por áreas de la SSOAC  a 1° trimestre de 2018:
Anexo No. 1.
El avance del compromiso estratégicos es del 13% acumulado a Dic-18, para el 1° trimestre de 2018 se alcanzo un 84% de cumplimiento
</t>
  </si>
  <si>
    <t>En el anexo No.5 se adjunta cronograma de actividades con el % de cumplimiento Fase No. 1 detallado el cual alcanzo un 87% de cumplimiento para el 1° trimestre de 2018</t>
  </si>
  <si>
    <t>25% 
(41,4% Compromisos)</t>
  </si>
  <si>
    <t>25%
(18,9% Obligaciones)</t>
  </si>
  <si>
    <t>METAS  6</t>
  </si>
  <si>
    <t>No registran información</t>
  </si>
  <si>
    <t>NP</t>
  </si>
  <si>
    <t>GOYCA reorganiza actividades y ajustes a las  mismas.</t>
  </si>
  <si>
    <t>Este compromiso  fue autorizado por  la OAP de realización de ajustes y llevado a Comité Directivo.
Se elaboro el Plan Auditorias para 2018 y fue aprobado por parte del CICCI</t>
  </si>
  <si>
    <t>No hubo inconvenientes en el seguimiento se realizó directamente con la Jefe de OCI.</t>
  </si>
  <si>
    <t xml:space="preserve">  Fortalecer y reposicionar el sistema de gestión de la calidad en relación con el nuevo modelo integrado de planeación y gestión MIPG</t>
  </si>
  <si>
    <t xml:space="preserve">
Promover la utilización de la implementación de la nueva versión de ISOLUCION</t>
  </si>
  <si>
    <t xml:space="preserve">
Cronograma y Plan de Actividades</t>
  </si>
  <si>
    <t xml:space="preserve">
Avance en el cumplimiento de las actividades programadas en el cronograma</t>
  </si>
  <si>
    <t xml:space="preserve">
Avance en el cumplimiento de las actividades programadas </t>
  </si>
  <si>
    <t>La caracterización se realizó en el aplicativo Kactus.</t>
  </si>
  <si>
    <t>1. Diagnóstico del Manual de Funciones y Competencias Laborales de las Secretarías de las áreas misionales.
Elaboración de plan de trabajo.
Realización de capacitación a los delegados del proceso.
Mesas de trabajo con el Grupo de Inspección de Operaciones
2. . El Grupo de Carrera Administrativa está adelantando los Estudios de Verificación para la provisión transitoria mediante la figuera de Encargo o Nombramiento Provisional en los niveles: Controlador de Tránsito Aéreo (6 empleos), Bombero Aeronáutico(2 empleos) y los servicios de AIS/COM/MET (10 empleos)</t>
  </si>
  <si>
    <t>Se identificaron los porcentajes de la población de servidores públicos en actividades de alto riesgo, como lo son los Controladores de Tránsito Aéreo y los Bomberos Aeronáuticos, con alta probabilidad de acreditar los requisitos de 1300 semanas y 50 años o más de edad cumplida. Este hecho los hace objeto de una posible consolidación del derecho al reconocimiento de una pensión de vejez, con miras a iniciar acciones pedagógicas para obtener el reconocimiento de la prestación ante Colpensiones y su posible retiro de la Entidad.</t>
  </si>
  <si>
    <t xml:space="preserve">NO COLOCARON AVANCE NI APARECE LA ACTIVIDAD EN EL SEGUIMIENTO </t>
  </si>
  <si>
    <t xml:space="preserve">Se llevaron a cabo reuniones el 2 y 7 de marzo de 2018 para aclarar las funciones de cada área en el tema PIC. Igualmente, se abordaron temas como Reinducción e Inducción. </t>
  </si>
  <si>
    <t>Realizada entre los meses de febrero y marzo de 18</t>
  </si>
  <si>
    <t>El 28% de las cédulas consultadas coinciden con novedad de retiro hasta en dos meses consecutivos; esto es porque son marcadas en el mes en que los servidores públicos son desvinculados de la entidad y en el mes en que se pagan sus prestaciones sociales; por igual motivo algunas de las cédulas validadas con la base de datos se repiten de un mes a otro.</t>
  </si>
  <si>
    <t>OBSERVACIONES AREAS</t>
  </si>
  <si>
    <t>ACTIVIDADES AJUSTADAS</t>
  </si>
  <si>
    <t xml:space="preserve">Analizar el comportamiento de los canales de comunicación interno y externo a fin de direccionar y afianzar las campañas que se estén divulgando.  </t>
  </si>
  <si>
    <t>Estrategias de comunicación que contribuya a mejorar el servicio al cliente.</t>
  </si>
  <si>
    <t xml:space="preserve">Divulgación de información oportuna, interna y externa con respecto a la gestión de las diferentes aéreas de la Entidad </t>
  </si>
  <si>
    <t xml:space="preserve">La medición de estos resultados se evidencian en la medición trimestral de indicadores, Lo cual se cumplió a satisfacción. </t>
  </si>
  <si>
    <t xml:space="preserve">Esta está relacionada con la primera. </t>
  </si>
  <si>
    <t>Se cancelaron efectivamente seis matriculas, HK5194, HK4920, HK3336, HK4697, HK4283 y la HK4557.
De las siguientes matriculas, se realizaron las siguientes actividades de conformidad con el Plan de Acción: 
Se identificó que de las aeronaves con matrículas  inscritas  en el Registro Aeronáutico Nacional  en condición de inactividad mayor a tres (3) años, hay 290 aeronaves que se encuentran en esta condición.
Una vez identificadas las aeronaves, se dio inicio a  la  actuación administrativa de las matriculas que se relacionan a continuación: 
1. AERONAVES HK591, HK857, HK578, HK836, HK 909, HK902 Y HK1573.
OAP : SE dará como cumplida dentro del trimestre 100% ( 25% para nuestro informe)</t>
  </si>
  <si>
    <t>CUMP OAP                 25%</t>
  </si>
  <si>
    <t>CUMPLIMIENTO           100%</t>
  </si>
  <si>
    <t>Conforme al resultado de la revisión y ajuste de los documentos y formatos, se reflejará el avance en el siguiente reporte</t>
  </si>
  <si>
    <t xml:space="preserve">OBSERVACIONES </t>
  </si>
  <si>
    <t xml:space="preserve">La Dirección Administrativa ha analizado el manual de Supervisoría e Interventoría, generara directrices en circular a emitir en abril  y remite la plantilla de informe supervisoria.
En el siguiente trimestre se recibirá las observaciones a la plantilla, para los ajustes a que haya lugar.. </t>
  </si>
  <si>
    <t xml:space="preserve">La Dirección Administrativa se encuentra actualizando los 16 formatos asociados a los procedimientos,  con el fin de ajustarlos a la normatividad vigente ay a la dinámica de la Entidad. </t>
  </si>
  <si>
    <t>Con base en lo replanteado anteriormente, esta Secretaria adelantara las mesas de trabajo a partir del mes de abril/18 durante el segundo trimestre de la vigencia.</t>
  </si>
  <si>
    <t xml:space="preserve">PRIMER SEMESTRE </t>
  </si>
  <si>
    <t>EVIDENCIAS</t>
  </si>
  <si>
    <t>CUMPL OAP :   23,80%</t>
  </si>
  <si>
    <t xml:space="preserve">CUMPL OAP :  </t>
  </si>
  <si>
    <t>En el aplicativo SUIFP del DNP se encuentran los 33 proyectos formulados, incorporados en la MGA y transferidos a las fichas BPIN.</t>
  </si>
  <si>
    <t>La OAP - Grupo Programación refiere que se cumplió la Meta en su totalidad.</t>
  </si>
  <si>
    <t>PRIMER SEMESTRE</t>
  </si>
  <si>
    <t>Se realizaron informes acerca de Contratación, Atención a Denuncias y avances en los MIPG. Se realiza seguimiento semanal a los hallazgos de CGR y MECI.</t>
  </si>
  <si>
    <t>Cuantas son las auditorias combinadas  que se tienen previstas.</t>
  </si>
  <si>
    <t xml:space="preserve">Como va el procedimiento ?
Cuantos proyectos se encuentran presentados de entrega de infraestructura aeroportuaria.
Aplicación del procedimiento en el 90% proyectos presentados de entrega de infraestructura aeroportuaria </t>
  </si>
  <si>
    <t>Se tiene un instrumento de medicion donde se mide cada uno de los  servicio correpondiente a cada Direcccion adscrita a la SSO,20% de Avance a 31 Marzo se tiene la medicion de las direcciones de DSNA-DIA, pendiente DSA se esta socializando con la Oficina de Planificacion para ser incorporado en el aplicativo ISOLUCION</t>
  </si>
  <si>
    <t>CUMP :  54%</t>
  </si>
  <si>
    <t xml:space="preserve">SEGUNDO TRIMESTRE </t>
  </si>
  <si>
    <t>SEGUNDO TRIMESTRE</t>
  </si>
  <si>
    <t>SEGUNDO  TRIMESTRE</t>
  </si>
  <si>
    <t>METAS CUMPLIDAS 0</t>
  </si>
  <si>
    <t xml:space="preserve"> PRIMER TRIMESTRE</t>
  </si>
  <si>
    <t>ACTIVIDAD CUMPLIDA EN EL PRIMER TRIMESTRE</t>
  </si>
  <si>
    <t>existir correo o un oficio donde sustente esto.</t>
  </si>
  <si>
    <t xml:space="preserve">Si esta actividad era solo para el trimestre. </t>
  </si>
  <si>
    <t>Si esta actividad es para todo el año?</t>
  </si>
  <si>
    <t>Si ya esta socializado ?</t>
  </si>
  <si>
    <t>Avance de implementación</t>
  </si>
  <si>
    <t>Taxis Aéreos 
Donde se encuentra el programa , cuantas son las inspecciones y cuantos son los proveedores?</t>
  </si>
  <si>
    <t>El Secretario de Seguridad Aérea designo en los Coordinadores de Grupo el liderazgo de las modificaciones de las Normas a que haya lugar y se esta trabajando con base en el cronograma definido por el Grupo de Normas Aeronáuticas de la OTA.</t>
  </si>
  <si>
    <t>Cronograma de actividades con el % de cumplimiento Fase No. 1 detallado el cual alcanzo un 100% de cumplimiento para el 2° trimestre de 2018.</t>
  </si>
  <si>
    <t>Disponible en el Bog7 del Grupo de Gestión de Seguridad Operacional.
Pagina web Aerocivil.</t>
  </si>
  <si>
    <t>Mediante Resolución 01833 del 27 de junio de 2018, se adopta el PEGASO, el cual plantea los lineamientos para el desarrollo de las actividades referidas en cada Fase que se requieren para el desarrollo del SSP.</t>
  </si>
  <si>
    <t>Se realizó visita de Inspección al Aeropuerto de Cartagena en el mes de junio de 2018.</t>
  </si>
  <si>
    <t>Las evidencias están disponibles en el Bog 7 del Grupo de Certificación e Inspección de Aeródromos y Servicios Aeroportuarios y en el Correo Electrónicos del Coordinador del Grupo.</t>
  </si>
  <si>
    <t>El cumplimiento se realizó en el primer trimestre.</t>
  </si>
  <si>
    <t>En relación a la actualización y mejora del Programa PIESO vigente, la SSOAC a realizado las siguientes actividades: 
- Revisión integral del Programa con los Coordinadores de Grupo en atención a las funciones propias de cada uno, versus la capacitación requerida.
- Integración de las temáticas de AVSEC y FAL al Programa.
- Separación de las temáticas de PEL y Medicina de Aviación.</t>
  </si>
  <si>
    <t>Disponible en el Bog7 de la SSOAC y en los Correos Electrónicos de cada uno de los responsables designados para cada Área.</t>
  </si>
  <si>
    <t xml:space="preserve">OCEI convocó reunión el 30 de enero de 2018 entre ANI, OTA, Grupo Atención al Usuario y OCEI para coordinar la gestión de las dos Entidades para que el servicio de atención al usuario sea atendido directamente por los concesionarios.
Posteriormente se realizó reunión el 1 de marzo de 2018 en la que asistieron los concesionarios, ANI, OTA con el fin de revisar la propuesta de Aerocivil sobre la modificación procedimiento de atención al usuario en los aeropuertos concesionados. </t>
  </si>
  <si>
    <t>OBSERVACIONES ÁREA</t>
  </si>
  <si>
    <t>Se tiene un consolidado  de 18 tareas  cerradas.</t>
  </si>
  <si>
    <t>La SSO nombró un cuadro administrativo para atender con el personal de las áreas técnicas el análisis de la viabilidad  de los proyectos presentados.</t>
  </si>
  <si>
    <t>De 3 rutas : 1 = 86% falta fase de publicación.
2 -  57% Etapa revisión material
3 - Inicia sus actividades julio 2018 y termina en dic 2018
Archivos borradores en ruta del Coord del Grupo.</t>
  </si>
  <si>
    <t xml:space="preserve">Estructuración del documento FUA
Archivos borradores en ruta del Coord del Grupo. </t>
  </si>
  <si>
    <t>Va en incumplimiento</t>
  </si>
  <si>
    <t xml:space="preserve">Avance corresponde al desarrollo de las actividades de cada uno  de los ASBUS.segun anexo  </t>
  </si>
  <si>
    <t xml:space="preserve">Se ajusta primera actividad para guardar consistencia con el compromisos y la meta.
Falta cronograma.
Reducir el impacto de los fallos jurídicos en contra de la UAEAC 
</t>
  </si>
  <si>
    <t xml:space="preserve">
 "Elaboración Acto Administrativo el cual llevara los lineamientos trazados por la Agencia de Defensa Jurídica del Estado" y su socialización.
</t>
  </si>
  <si>
    <t>Actualización, revisión y seguimiento de los procesos judiciales de la entidad</t>
  </si>
  <si>
    <t>Se mantiene actualizada la matriz de pagos, sentencias y conciliaciones. A Junio.</t>
  </si>
  <si>
    <t>1050 Bog7 OAJ - Matriz de Pagos y Sentencias</t>
  </si>
  <si>
    <t>Se realizaron 2 reuniones con  apoderados el 27 de abril y el 29 de mayo de 2018. (Según cronograma)</t>
  </si>
  <si>
    <t>1050 Bog7 OAJ - Actas de reunión del 27 de abril y 29 de mayo 2018</t>
  </si>
  <si>
    <t>1050 BOG 7 - Carpeta proceso de cada Apoderado.</t>
  </si>
  <si>
    <t>Concertado cronograma a partir de Junio.
Falta un cronograma.
Las resoluciones de pago se encuentran en la carpeta de cada proceso y de apoderado. Se trasladara una carpeta Bog7 OAJ.</t>
  </si>
  <si>
    <t>Intranet  Normatividad y  Bog7 1050 OAJ.</t>
  </si>
  <si>
    <t>Acompañamiento jurídico a los procesos institucionales  - audiencias y comité de Contratación</t>
  </si>
  <si>
    <t>Pendiente de organizar citaciones vs asistencia</t>
  </si>
  <si>
    <t>Se ajusta debido a que no guarda consistencia con el compromiso ni el acta.</t>
  </si>
  <si>
    <t>Bog7 1050 OAJ</t>
  </si>
  <si>
    <t>Elabora  matriz de los proceso de alto impacto para constante revisión y seguimiento (Uno de los pasos exigidos por la Agencia)</t>
  </si>
  <si>
    <t>Proyecto Resolución para presentar al Comité de Conciliación.</t>
  </si>
  <si>
    <t>Sugiere oficio con este tema al JOAP</t>
  </si>
  <si>
    <t>Matriz Aerocivil - ANI - bog7 . 1070 Oficina comercialización</t>
  </si>
  <si>
    <t>Actas - Convenio 005 : Bog7 1070 Acta Convenio Interadministrativo</t>
  </si>
  <si>
    <t>Se ajusta en la 3ra actividad el cronograma a Sept por dependen de la ANI.
En que documento se pueden apreciar las actividades acordadas en los Comités ?
Cumplimiento del 90 % de las actividades acordadas en los Comités interagenciales</t>
  </si>
  <si>
    <t>1070 - Bogy OFIC COMERCIAILIZACION</t>
  </si>
  <si>
    <t>Formato aprobado se puede evidenciar en Isolucion.</t>
  </si>
  <si>
    <t>Se presentó  el análisis y consolidación de los aeropuertos de Popayán y Villavicencio.</t>
  </si>
  <si>
    <t>Se realizó socialización con el Administrador y el Director Regional de los  aeropuertos de Villavicencio y el de Popayán.</t>
  </si>
  <si>
    <t>Bog7 1070 - Verificación de encuestas de Aptos VV, PP y FL.</t>
  </si>
  <si>
    <t>ACUMULADO</t>
  </si>
  <si>
    <t xml:space="preserve">SECOP CONTRATACIÓN
BOG7 4000 DIA - </t>
  </si>
  <si>
    <t>Identificar archivos para evidencia</t>
  </si>
  <si>
    <t>Por ser muy técnico el tema y por la misma información este se  vera realizado por fuera de fechas propuestas.</t>
  </si>
  <si>
    <t>Bog7 K 4107 - ATFCM- 2018</t>
  </si>
  <si>
    <t>La posición OCS esta implementada en el Grupo ATFCM como una extensión de la posición del Grupo de Planeación de Franjas Horarias.</t>
  </si>
  <si>
    <t>Dentro del PDC - SCORE se ha trabajado la mensajeris SSIM para la operación de vuelos no regulares.</t>
  </si>
  <si>
    <t>Actividad No.1 esta totalmente cumplida.</t>
  </si>
  <si>
    <t>Se tiene el documento borrador manual de la determinación de capacidad de pista y sectores del ATC del espacio aéreo colombiano SINEA. Donde se establecieron alcances, limitaciones, conceptualización, metodología y procedimiento a realizar dentro del Proyecto.</t>
  </si>
  <si>
    <t>Se encuentra la DSNA en coordinación con OPAIN para definir el proceso de implementación de la ACDM para el aeropuerto Eldorado.</t>
  </si>
  <si>
    <t>Conseguir copia Actas que tiene OPAIN de este tema</t>
  </si>
  <si>
    <t>Evidencias en ruta: J:\3400-Informatica\2018\001 Actas Equipo Gerencia2018</t>
  </si>
  <si>
    <t>22/05/2018. se realizó sesión de trabajo con los coordinadores de grupo y se hizo una revisión parcial del documento y se ajustó en donde se consideró pertinente.
30/05/2018 se realizó segunda sesión de verificación PETI con la participación de los coordinadores de Grupo. Evidencia acta de comité de gerencia 07.
30/06/2018 se finalizó la verificación se realizaron tres sesiones adicionales. evidencia actas de comité de gerencia 08, 09 y 10
Evidencias en ruta: J:\3400-Informatica\2018\001 Actas Equipo Gerencia2018</t>
  </si>
  <si>
    <r>
      <t xml:space="preserve">Se realizó una reunión de comité de gerencia, con la participación de los coordinadores de Grupo. Acta de comité de gerencia 05.  </t>
    </r>
    <r>
      <rPr>
        <b/>
        <sz val="11"/>
        <color indexed="8"/>
        <rFont val="Calibri"/>
        <family val="2"/>
      </rPr>
      <t>Actividad cumplida</t>
    </r>
  </si>
  <si>
    <t>Teniendo en cuenta que dentro del PAA 2018 se encontró el proceso "CONTRATAR SERVICIOS DE APOYO Y ASESORIA PARA EL FORTALECIMIENTO INSTITUCIONAL - CONTRATAR PROYECTO GESTION DOCUMENTAL" el cual está relacionado con el presente proyecto  y que el avance o establecimiento oficial del Programa de Gestión Documental de la Entidad no es claro, se decide por parte de la Dirección de Informática no adelantar este proceso. Lo anterior también se soporta en que al presentar el anteproyecto de inversión 2019 a la OAP, esta oficina observó no adelantar esta iniciativa hasta que las condiciones en procesos y procedimientos en Gestión Documental de la Entidad estén bien definidas por las áreas responsables.</t>
  </si>
  <si>
    <t>Oficios ADI 3400-2018-012358
1012,028-2018016142</t>
  </si>
  <si>
    <t>6/05/2018 Se han realizado reuniones con proveedores y fabricantes a fin de definir con exactitud las especificaciones técnicas de los servidores.
28/06/2018. se radica en la Dirección administrativa ADI No. 3400-2018019748</t>
  </si>
  <si>
    <t>ADJUDICADOS Y CON REGISTROS PRESUPUESTALES TODOS LOS SEGMENTOS DE ADQUISICION DE PCS Y PERIFERICOS. VALOR TOTAL ADJUDICADO:  2.399.533.121.
EL SALDO SE UTILIZARA PARA ADQUIRIR MAS EQUIPOS A FIN DE ONTENER UN MAYOR CUBRIMIENTO DE LAS NECESIDADES AUN EXISTENTES.</t>
  </si>
  <si>
    <t>En ejecución</t>
  </si>
  <si>
    <t>En estudios previos</t>
  </si>
  <si>
    <t>Bog7 T- 2018 - Secretaria General - Informática</t>
  </si>
  <si>
    <t>Contrato en ejecución</t>
  </si>
  <si>
    <t>Radicado en Administrativa Soporte y mantenimiento balanceadores de carga F5 para trámite pre-contractual</t>
  </si>
  <si>
    <t xml:space="preserve">24/05/2018. Radicado en la Dirección Administrativa el 25/05/2018. Pendiente de avance por parte de dicha Dirección para avanzar en el proceso precontractual.
30/06/2018  se llevó a comité de contratación, si de definió cambiar la modalidad de contratación por subasta inversa. se radicaron los documentos ajustados mediante comunicado ADI No. 3400-2018018352 de fecha 18 de junio de 2018 </t>
  </si>
  <si>
    <t xml:space="preserve">Bog7 T- 2018 - Secretaria General - Informática
</t>
  </si>
  <si>
    <t>Formula Indicador</t>
  </si>
  <si>
    <t xml:space="preserve">Se realizaron las revisiones correspondientes con las respectivas recomendaciones </t>
  </si>
  <si>
    <t>Se realizo presentación del Documento final a la Secretaria General y dio viabilidad para la expedición de la resolución de aprobación.</t>
  </si>
  <si>
    <t>Evidencia en el BOG7 - Secretaria General J/3302-CONTABILIDAD/2018 / 178-ESTADOS FINANCIEROS / 03 MARZO / INFORMACIÓN FINANCIERA ECONÓMICA SOCIAL Y AMBIENTAL 
- CHIP ESFA Apertura 
- CONVERGENCIA I Trimestre
BOG7-Secretaria General (J) / 3300-Financiera/2018/Informe sobre los avances Plan de Acción
-Oficio 3300-184-2018020401 Segundo informe Sobre los Avances de hallazgos y Plan de acción</t>
  </si>
  <si>
    <t xml:space="preserve">Se excluyo de la gestión institucional, la contratación de la Consultoría de Apoyo a la implementación de las normas internacionales NICSP, toda vez que, al interior del equipo de trabajo de la Dirección Financiera con la coordinación de Contabilidad, se realizaron las tareas de preparación y envío de la información contable a la CGN cumpliendo con los requisitos de las NICSP. </t>
  </si>
  <si>
    <t xml:space="preserve">Se trasmitió el ESFA  a la CGN </t>
  </si>
  <si>
    <t>Se trasmitió el balance correspondiente al I Trimestre del 2018 (Información contable publica)</t>
  </si>
  <si>
    <t>Evidencia en el BOG7 - Secretaria General J/3302-Contabilidad/2018 / 178-Estados Financieros / 03MARZO / Información Financiera, Económica, Social y Ambiental.</t>
  </si>
  <si>
    <t>Se efectuaron las diferentes mesas de trabajo entre CONTRY FINANZAS y Grupos de Trabajo de la Aerocivil</t>
  </si>
  <si>
    <t>Documento disponible en la Dirección financiera (en físico)</t>
  </si>
  <si>
    <t>Se encuentra en tramite la resolución de aprobación de las políticas contables.</t>
  </si>
  <si>
    <t xml:space="preserve">Se culmina el tramite en el III trimestre, por lo cual se registra seguimiento para le mes de Julio </t>
  </si>
  <si>
    <t xml:space="preserve">Para el Seguimiento del segundo trimestre, el área realiza el registro del cronograma </t>
  </si>
  <si>
    <t>Requisitos  cumplidos  para   obtención de la membresía plena del programa Trainair Plus  por  parte de  la OACI.</t>
  </si>
  <si>
    <t>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</si>
  <si>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Meta cumplida 100% en el segundo trimestre de la vigencia</t>
  </si>
  <si>
    <t xml:space="preserve">Con la radicación de la solicitud, se encuentran a la espera de la respuesta por parte de SSOAC, por medio de la cual certifican dicho programa </t>
  </si>
  <si>
    <t>Pendiente por parte de la SSOAC, por lo cual se realiza programación en el cronograma para el mes de Octubre.</t>
  </si>
  <si>
    <t xml:space="preserve">Con base en la información consignada en el SIAII y la oferta académica (PIC2018) se identificaron los espacios de formación existentes y se consolidaron en un documento final denominado Propuesta de Codificación de la Oferta Académica </t>
  </si>
  <si>
    <t>Basado en el documento Guía de Clasificación de las actividades académicas y programas de formación se identifican aquellos espacios que son susceptibles de pasar a ser denominados a créditos académicos, de cual se genero el documento en Excel Distribución e créditos de la oferta académica</t>
  </si>
  <si>
    <t>El documento Guía, contiene  la normalización de las denominaciones e intensidades de las actividades académicas y oferta educativa del CEA, lo cual será sujeto de aprobación por los diferentes estamentos internos del CEA.</t>
  </si>
  <si>
    <t>Para el cumplimiento del 100% evidencias Actas de comité</t>
  </si>
  <si>
    <t xml:space="preserve">Planificar las actividades de elaboración y circulación de los productos de investigación desarrollados </t>
  </si>
  <si>
    <t>Desarrollar los productos y realizar las actividades de circulación de los productos</t>
  </si>
  <si>
    <t>Se realizara presentación de resultados en el II FORO Sector Aéreo 2030, el cual se realizara el 05 de julio de 2018</t>
  </si>
  <si>
    <t xml:space="preserve">Para el Seguimiento, el área realiza el registro del cronograma. </t>
  </si>
  <si>
    <t>Recibir la membresía como MIEMBRO PLENO del programa TRAINAIR PLUS de la OACI, para la adición y ofrecimiento de un nuevo curso CMDN basado en esta metodología.</t>
  </si>
  <si>
    <t>no aplica seguimiento para el 2do trimestre</t>
  </si>
  <si>
    <t xml:space="preserve">Se realizara presentación de resultados en el II FORO Sector Aéreo 2030, el cual se realizara el 05 de julio de 2018.
Para el Seguimiento, el área realiza el registro del cronograma. </t>
  </si>
  <si>
    <t xml:space="preserve">OBSERVACIONES ÁREA </t>
  </si>
  <si>
    <t>Las evidencias se encuentran ubicadas en el BOG7 Institucional - Dirección Subdirección - 1042 Planeación - Plan de Acción 2018</t>
  </si>
  <si>
    <t>Concluida la etapa 3 del  proceso de  Normalizado-CMDN con la Impartición del curso el 23 al 27 de abril a un Grupo de 15 controladores de Tránsito Aéreo de las diferentes regionales aeronáuticas del País, para la obtención de la MEMBRESÍA PLENA en el programa Train Air Plus de la OACI. - “Investigación de Incidentes ATS, como herramienta del SMS”.</t>
  </si>
  <si>
    <t>Se atendieron las observaciones presentadas por parte de la SSOAC, ajustando el programa "Curso Básico Control por Procedimientos del Área ATS" , generando el documento del programa</t>
  </si>
  <si>
    <t>Para el Seguimiento del segundo trimestre, el área realiza el registro del cronograma 
La presente actividad, no aplica para seguimiento en el 2do trimestre, se registra avance.</t>
  </si>
  <si>
    <t>Se  radico  comunicación  de fecha 17 de abril  de 2018  dirigida  a la Secretaria Operacional y de  Aviación Civil   Nro. 1041-2018011057 de 17 de Abril de 2018. .. " Solicitud adición  Programa Académico " Curso Básico Control Aproximación y Área por  Procedimientos  del  Área  ATS.  en espera de  observaciones que se  puedan  presentar   y  aprobación del mismo.</t>
  </si>
  <si>
    <t>En espera de  respuestas  aprobación del mismo. Mediante  comunicación  No. 1041-2018011057 de 17 de Abril de 2018</t>
  </si>
  <si>
    <t>Las evidencias se encuentran ubicadas en el BOG7 Institucional - Dirección Subdirección - 1045 Grupo de Calidad - Plan de Acción 2018</t>
  </si>
  <si>
    <t xml:space="preserve">Normalizar   el 50% de la  oferta  académica  del CEA bajo  el  sistema  de Créditos de los cuales la intensidad sea de 160 horas o mas (Sobre cuanto es la oferta académica?)
Transición de intensidades horarias a sistema de créditos </t>
  </si>
  <si>
    <t>Las evidencias son los productos de investigación, se encuentran en el BOG7 Institucional - Dirección Subdirección - 1046 Grupo de Investigación académico - Plan de Acción 2018</t>
  </si>
  <si>
    <t xml:space="preserve">Se  realizó  un  análisis  sobre  la  tipología  de 6 productos investigación que  contribuyan   al   posicionamiento del Grupo  Investigación- CEA  ante  Colciencias.  </t>
  </si>
  <si>
    <t xml:space="preserve">Cuales son los productos de investigación y si existe alguna diferentes con los productos científicos ?  
Se valido que existe una inconsistencia en la redacción del indicador, ya que son Productos de investigación </t>
  </si>
  <si>
    <t>Se  encuentra  publicados en la  pagina  web de la  entidad: http://www.aerocivil.gov.co/cea/Investigación/InvestigacionCEA/productos-de-investigación</t>
  </si>
  <si>
    <t>Se  han  desarrollado  tres  productos  de  investigación  científica:
1. Implementación de sistema para la medición de fuerzas aerodinámicas en un túnel de viento subsónico. 
2, Diseño Preliminar De Un Sistema Fotovoltaico Para La Estación Aeronáutica Ubicada En El Cerro Tasajero. 
3 sistemas Remotos Centralizados: Una Solución Efectiva Para El Mantenimiento Aeronáutico;  los cuales se  encuentra  publicados en la  pagina  web de la  entidad: http://www.aerocivil.gov.co/cea/Investigación/InvestigacionCEA/productos-de-investigación</t>
  </si>
  <si>
    <t>Evidencias: La  información  se    encuentran en la  siguiente  ruta pagina  WEB  de la  Entidad. http://www.aerocivil.gov.co/Aerocivil/foro 2030</t>
  </si>
  <si>
    <t>Se realizó el FORO en los tiempos y agenda establecidas los días 9 y 10 de abril de 2018. la  información  se    encuentran en la  siguiente  ruta pagina  WEB  de la  Entidad. http://www.aerocivil.gov.co/Aerocivil/foro 2030/</t>
  </si>
  <si>
    <t xml:space="preserve">Dentro del Primer Foro se realizo la planeación del Plan estratégico Aeronáutico.
Para el Seguimiento, el área realiza el registro del cronograma. </t>
  </si>
  <si>
    <t xml:space="preserve">Se realizaron mesas de trabajo de la mano con la OAP, respecto a la presentación del  plan  estratégico, orientado  a 7  ejes  temáticos  entre  ellos   el  Desarrollo del talento humano en el sector, definiendo  el   objetivo de  (...)   Fortalecer la gestión del  conocimiento para  lograr  el  desarrollo  integral  y  sostenible del  talento Humano, en línea con el  crecimiento de la  Aviación  civil en  Colombia.   </t>
  </si>
  <si>
    <t xml:space="preserve">Las evidencias se encuentran ubicadas en el BOG7 Institucional - Dirección Subdirección - 1042 Planeación - Plan de Acción 2018 
Informe sobre la impartición del CMDN (Oficio 1044-2018014390), Material Didáctico Normalizado (Programa Investigación de incidentes ATS)  </t>
  </si>
  <si>
    <t>Elaborar una programación anual a los aeródromos, aeropuertos, servicios aeroportuarios, servicios ANS, facilitación y AVSEC a inspeccionar, teniendo en cuenta el análisis de riesgo del año 2017.</t>
  </si>
  <si>
    <t>Realizar reuniones preliminares con los apoderados con el fin de cumplir con lo establecido en el cronograma.</t>
  </si>
  <si>
    <t>Revisión y análisis de los pliegos  contractuales de uso en la entidad. -( Se ajusta)</t>
  </si>
  <si>
    <t>Coordinar la estrategia de defensa judicial de la UAEAC  con la Agencia Nacional de Defensa Judicial</t>
  </si>
  <si>
    <t xml:space="preserve"> "Elaboración Acto Administrativo el cual llevara los lineamientos trazados por la Agencia de Defensa Jurídica del Estado" y su socialización.</t>
  </si>
  <si>
    <t>Desarrollo del formato de aplicación del Sondeo de opinión.</t>
  </si>
  <si>
    <t>Definición y cumplimiento de cronograma.</t>
  </si>
  <si>
    <t>Aplicación del muestreo en aeropuerto seleccionado.</t>
  </si>
  <si>
    <t>Tabulación, análisis y consolidación del informe de resultados.</t>
  </si>
  <si>
    <t>Socialización con las áreas para el desarrollo de matriz de seguimiento.</t>
  </si>
  <si>
    <t>Se adelantó la tabulación, análisis y consolidación del informe de los aeropuertos de Popayán y Villavicencio, en la actualidad se encuentra en la fase de tabulación el aeropuerto de Florencia para el análisis y presentación del informe en el mes de julio.</t>
  </si>
  <si>
    <t xml:space="preserve">Etapa de consolidación (Adquisición y puesta en funcionamiento de una herramienta tecnológica para el desarrollo de este proceso).
</t>
  </si>
  <si>
    <t>Análisis y definición de los aeropuertos para la estructuración  para el desarrollo de las APP publicas</t>
  </si>
  <si>
    <r>
      <t xml:space="preserve">Base de gestión: 8 Instrumentos bilaterales. 
Para el primer trimestre se realizaron las siguientes actividades:
- Cronograma elaborado 
- Se adelantaron mesas de trabajo obteniendo como resultado la suscripción del </t>
    </r>
    <r>
      <rPr>
        <b/>
        <sz val="11"/>
        <rFont val="Calibri"/>
        <family val="2"/>
      </rPr>
      <t>instrumento bilateral aerocomercial</t>
    </r>
    <r>
      <rPr>
        <sz val="11"/>
        <rFont val="Calibri"/>
        <family val="2"/>
      </rPr>
      <t xml:space="preserve"> con la Republica Argentina.
Actualmente se estan realizando las siguientes actividades:
- Se enviaron 24 cartas a las autoridades aeronáuticas de diferentes paises con el fin de crear o revisar el instrumento bilateral que rija las relaciones aerocomerciales de Colombia con cada uno de estos paises
- Se estan realizando seguimientos en 23 Embajadas acreditadas en el exterior 
- Coordinación institucional con el Ministerio de Relaciones Exteriores 
- Reunión con Norwegian (Interés de operación a Colombia interes de Emirates y una aerolínea chilena)
- Solicitud de mandato como Política Pública al Concejo Directivo.  
Lo anterior teniendo en cuenta el interes de Colombia para promover y facilitar los servicios de transporte aéreo.
</t>
    </r>
    <r>
      <rPr>
        <b/>
        <sz val="11"/>
        <rFont val="Calibri"/>
        <family val="2"/>
      </rPr>
      <t>OAP :</t>
    </r>
    <r>
      <rPr>
        <sz val="11"/>
        <rFont val="Calibri"/>
        <family val="2"/>
      </rPr>
      <t xml:space="preserve"> Para el avance de la tercera actividad debe reflejar fecha de medición y de cumplimiento.
</t>
    </r>
  </si>
  <si>
    <r>
      <t xml:space="preserve">Numero de  eventos programados : Son los 8 instru mentos bilaterales? Se puede conocer cronograma cuales son los países? 
Definir en que momento participan las dos áreas.
</t>
    </r>
    <r>
      <rPr>
        <b/>
        <sz val="11"/>
        <color indexed="8"/>
        <rFont val="Calibri"/>
        <family val="2"/>
      </rPr>
      <t>OAP :</t>
    </r>
    <r>
      <rPr>
        <sz val="11"/>
        <color theme="1"/>
        <rFont val="Calibri"/>
        <family val="2"/>
        <scheme val="minor"/>
      </rPr>
      <t xml:space="preserve"> Para el avance de la tercera actividad debe reflejar fecha de medición y de cumplimiento.</t>
    </r>
  </si>
  <si>
    <r>
      <t xml:space="preserve">Cuantos numerales a reformular? Son 37
</t>
    </r>
    <r>
      <rPr>
        <sz val="11"/>
        <color indexed="10"/>
        <rFont val="Calibri"/>
        <family val="2"/>
      </rPr>
      <t xml:space="preserve"> racionalización de los requisitos para el acceso al mercado aéreo  y las modalidades del transporte aéreo. RAC 3</t>
    </r>
    <r>
      <rPr>
        <sz val="11"/>
        <color theme="1"/>
        <rFont val="Calibri"/>
        <family val="2"/>
        <scheme val="minor"/>
      </rPr>
      <t xml:space="preserve">
OAP : El area debe contemplar la primera actividad que es un cronograma. (Se debe evidenciar)
y la tercera actividad debe mencionar cuando se programa la actualización</t>
    </r>
  </si>
  <si>
    <r>
      <rPr>
        <b/>
        <sz val="11"/>
        <color indexed="8"/>
        <rFont val="Calibri"/>
        <family val="2"/>
      </rPr>
      <t xml:space="preserve">Fuente </t>
    </r>
    <r>
      <rPr>
        <sz val="11"/>
        <color theme="1"/>
        <rFont val="Calibri"/>
        <family val="2"/>
        <scheme val="minor"/>
      </rPr>
      <t>: Áreas Entidad y consolidado OAP.</t>
    </r>
  </si>
  <si>
    <r>
      <t xml:space="preserve">De acuerdo con el plan anticorrupción y de atención al ciudadano se cumplió con la socialización y publicación del mapa de riesgos de corrupción de la entidad, a 31 de enero de 2018.
OAP : Las actvidades se realizaran en dos tiempos por lo tanto su medicion es semestral por lo tanto se encuentra cumplido el primer semestre. </t>
    </r>
    <r>
      <rPr>
        <sz val="11"/>
        <color indexed="10"/>
        <rFont val="Calibri"/>
        <family val="2"/>
      </rPr>
      <t>(50% de todo, 100% del semestre)</t>
    </r>
  </si>
  <si>
    <r>
      <rPr>
        <sz val="11"/>
        <color indexed="10"/>
        <rFont val="Calibri"/>
        <family val="2"/>
      </rPr>
      <t xml:space="preserve">
</t>
    </r>
    <r>
      <rPr>
        <sz val="11"/>
        <rFont val="Calibri"/>
        <family val="2"/>
      </rPr>
      <t xml:space="preserve">
Cronograma de Actividades</t>
    </r>
  </si>
  <si>
    <t>ACTIVIDADES :  16</t>
  </si>
  <si>
    <t xml:space="preserve">OBSERVACIONES
Esta actividad  se desarrolla de manera semanal analizando la información. Se toman acciones, en caso de requerirse, de acuerdo a las directrices de la Dirección General o a la información que las áreas nos generen.  </t>
  </si>
  <si>
    <t>INDV</t>
  </si>
  <si>
    <r>
      <t xml:space="preserve">Sobre esta actividad se realizará el seguimiento : </t>
    </r>
    <r>
      <rPr>
        <b/>
        <sz val="11"/>
        <color indexed="8"/>
        <rFont val="Calibri"/>
        <family val="2"/>
      </rPr>
      <t xml:space="preserve"> Implementacion del instrumento  de medicion para medir las metas del PNA en las direcciones de la SSO.</t>
    </r>
  </si>
  <si>
    <t>Adquisición de equipos electrógenos, UPS  y migración hacia los sistemas LED en el lado aire                                                                  ((PE/PP)*0.2; número de proyectos 6</t>
  </si>
  <si>
    <t>Revisar y diagnosticar los documentos que están asociados al proceso de contratación de la Entidad.</t>
  </si>
  <si>
    <t xml:space="preserve"> Actas del 27-abril-2018, 02-mayo de 2018 y 08-mayo-2018</t>
  </si>
  <si>
    <t>Identificar las necesidades para sensibilización</t>
  </si>
  <si>
    <t xml:space="preserve">Elaborar cronograma de sensibilización </t>
  </si>
  <si>
    <t>Realizar los programas de sensibilización</t>
  </si>
  <si>
    <t>No. De Circular 3200,82-2018009050 de fecha 02/Abril/2018</t>
  </si>
  <si>
    <t xml:space="preserve">Se viene cumpliendo el cronograma de sensibilización planteado </t>
  </si>
  <si>
    <t>Se adjunta lista de asistencia a capacitación Regional Antioquia, Cundinamarca y Atlántico.</t>
  </si>
  <si>
    <t>Pendiente oficio por medio del cual se realizan los ajustes de las actividades para este compromiso</t>
  </si>
  <si>
    <t>no aplica para seguimiento del II trimestre
Pendiente oficio por medio del cual se realizan los ajustes de las actividades para este compromiso</t>
  </si>
  <si>
    <t>BOG7-Secretaria General - 3200 Administrativa / 2018 Plan de Acción - Acuerdo / Precontractual</t>
  </si>
  <si>
    <t>BOG7-Secretaria General - 3200 Administrativa / 2018 Plan de Acción - Acuerdo / Evidencias</t>
  </si>
  <si>
    <t xml:space="preserve">
Primer Trimestre:
Se realizó la comunicación a los supervisores sobre las responsabilidades contractuales y a los ordenadores del gasto 
(Se registra el seguimiento para el primer trimestre, ya que esta actividad se ajusto para el segundo trimestre)</t>
  </si>
  <si>
    <t xml:space="preserve">Se realiza ajuste al cronograma a partir del III trimestre </t>
  </si>
  <si>
    <t xml:space="preserve">Proponer modificaciones </t>
  </si>
  <si>
    <t xml:space="preserve">Pendiente oficio por medio del cual se realizan los ajustes de las actividades para este compromiso
Se realiza ajuste al cronograma a partir del III trimestre </t>
  </si>
  <si>
    <t>Acta de fecha 15 de Junio ISOLUCION</t>
  </si>
  <si>
    <t>Se elaboraron los siguientes documentos: 
1- Formato Registro de Asistencia Audiencia de Adjudicación
2- Se elaboró el procedimientos de las modalidades de contratación de  Licitación Pública y Selección Abreviada de menor cuantía, y de Mínima Cuantía, así como los correspondientes flujogramas, los cuales serán revisados en coordinación con la OAP.
3-Se encuentran elaborados los complementarios de pliegos de condiciones  de Licitación Pública y Selección Abreviada de menor cuantía, así como la invitación pública para Mínima Cuantía.</t>
  </si>
  <si>
    <t>Se envío Circular para Supervisores con Formato de Informe de Ejecución y supervisión contractual</t>
  </si>
  <si>
    <t xml:space="preserve">Se revisaron procesos los siguientes:
- Servicio Aseo y cafetería (documentar e implementar formatos)
- Servicio de Transporte  (ver formatos) 
- Mantenimiento vehículos (documentar y toma de decisiones) </t>
  </si>
  <si>
    <t>Se le explico a Zully y se facilito el Excel.</t>
  </si>
  <si>
    <t>Para el seguimiento del segundo trimestre, se revisaron los  indicadores del proceso Contractual según las siguientes actas: - Actas del 27-abril-2018, 02-mayo de 2018 y 08-mayo-2018:
a) Efectividad en el cumplimiento del PAA.
b) Calidad de proyectos presentados por ordenadores del gasto a la Dirección Administrativa.
c) Procesos Sancionatorios</t>
  </si>
  <si>
    <t>En termino</t>
  </si>
  <si>
    <t>Se realizó y se encuentra reflejado en el Plan de Auditorías 2018 aprobado.</t>
  </si>
  <si>
    <t>http://www.aerocivil.gov.co/atencion/control/Documents/Plan%20de%20Auditorias%202018%20V1.pdf</t>
  </si>
  <si>
    <t>N/A para el segundo trimestre</t>
  </si>
  <si>
    <t>Conformación de las auditorias (MiPG, Contratación, Mejoramiento, Denuncias e Informes de Ley). Estos se realizan durante la vigencia 2018 de acuerdo con el Plan de auditorias. Para este primer trimestre se programado 2 Dimensiones de MIPG, cumpliéndose-</t>
  </si>
  <si>
    <t>El cumplimiento del Plan de Auditorías en el segundo trimestre es 62%, en actividades de asesoría, acompañamiento, atención de quejas y denuncias de línea Anticorrupción,  informes de ley e Informes de Auditoría como se refleja en seguimiento del Plan de auditorías 2018.  El porcentaje obedece a cambios de fecha de las auditorías programadas inicialmente y al sistema de medición, por cuanto no se reporta terminada una auditoría hasta cuando se genera el informe en isolución, así ya se haya remitido el informe a los involucrados.</t>
  </si>
  <si>
    <t xml:space="preserve">Se realizaron 3 informes de auditorías combinadas de 4 programados; adicionalmente, el 16, 17 y 22 de mayo de 2018 se realizó capacitación a 29 auditores ISO 9001:2015 en el Modelo Integrado de Planeación y Gestión MIPG para generar el conocimiento del modelo y lograr realizar las auditorías combinada, 9 de los Auditores capacitados son de los Oficina de control Interno, los demás pueden apoyar la gestión de las auditorías combinadas.  El grupo de auditores denominado MIPG se encuentra elaborando la estrategia para la vinculación de los auditores de calidad. </t>
  </si>
  <si>
    <t>Resoluciones de pago de las sentencia y conciliaciones a Junio.</t>
  </si>
  <si>
    <t>Se recibieron 5 solicitudes de concepto (15 días hábiles a apartar de fecha de recibido) y se emite respuesta en el menor tiempo posible.</t>
  </si>
  <si>
    <t xml:space="preserve">Se identificaron los procesos  de alto riesgo  e impacto para la entidad los cuales están en los 4 pasos exigidos por la Agencia. </t>
  </si>
  <si>
    <t xml:space="preserve">Se realizaron los 4 pasos exigidos por la Agencia para la formulación de la Política y la misma indicó que la entidad ya puede registrar el Acto Administrativo al Comité de Conciliación.
</t>
  </si>
  <si>
    <t>Falta cronograma.
Unificar criterios  jurídicos se realiza a través de los conceptos</t>
  </si>
  <si>
    <t>La Oficina de Comercialización e Inversión realizó la convocatoria de la reunión y hasta aquí llega el compromiso de la Oficina.</t>
  </si>
  <si>
    <t xml:space="preserve">Se presentó informe ejecutivo el 30 de junio.  (Matriz Aerocivil - Aní - Informes). Mensualmente se van gestionando las tareas pendientes y se van cerrando. </t>
  </si>
  <si>
    <t xml:space="preserve">Link actas - 
En el mes de mayo se realizaron 2 reuniones los días 17 y 24 de mayo para revisar el Convenio,  el día 7 de junio se realizó la última reunión pero la ANI no se acoge a algunos puntos que la Aerocivil consideran se deben incluir en el Convenio tales como:   
                                                                              1. La intervención de la Aerocivil en la estructuración de los proyectos de las APP.       2. Adquisición de predios a nombre de la Aerocivil y no de la ANI.                                        3.Intervención de la Aerocivil en los comités fiduciarios.                                                            ANI enviará a la Aerocivil una comunicación sobre su postura final del convenio.
Revisado y Actualizado pero no esta aceptado por parte de la ANI.                       </t>
  </si>
  <si>
    <t>El proyecto de procedimiento esta adelantado en un 50%, con  acompañamiento de la Oficina de Planeación, se presentó  flujograma  a  la OAP. A la fecha nos encontramos ajustando observación de la OAP. La OCEI presentó análisis financiero de la IP campo de vuelo Eldorado.</t>
  </si>
  <si>
    <t>Isolución - Dirección Estratégico - Procedimiento de manejo APP - IP</t>
  </si>
  <si>
    <t>El 9 de mayo se aprobó por parte del Coordinador del Grupo de Concesiones Aeroportuarias y la Jefe de la Oficina de Comercialización e Inversión el procedimiento de las APP, se encuentra en Isolucion.</t>
  </si>
  <si>
    <r>
      <t xml:space="preserve">La OCEI coordinará con el Gerente del Proyecto y el Grupo contraparte asignado por la SSO, de acuerdo con las mesas de trabajo técnicas cuyo resultado es un documento de viabilidad, no viabilidad u observaciones del proyecto presentado..
</t>
    </r>
    <r>
      <rPr>
        <b/>
        <sz val="10"/>
        <rFont val="Arial"/>
        <family val="2"/>
      </rPr>
      <t/>
    </r>
  </si>
  <si>
    <t xml:space="preserve"> El  Gerente del Proyecto y el Grupo contraparte asignado por la SSO recopilará y elaborará el documento de viabilidad, no viabilidad, u observaciones suscrito por el SSO, el que envía a OCEI.
OCEI realiza análisis jurídico financiero del proyecto, el que se enviara a la ANI junto con el documento de SSO.</t>
  </si>
  <si>
    <t>Se desarrollo formato con acompañamiento de la Oficina de Planeación.</t>
  </si>
  <si>
    <t xml:space="preserve">Isolución - Dirección Estratégico - Instructivo  sondeo opinión </t>
  </si>
  <si>
    <t>El área Solicitará a la OAP ajuste al nombre del indicador.</t>
  </si>
  <si>
    <t>Ya se estructuro el cronograma y se cumplirá de acuerdo con lo establecido.</t>
  </si>
  <si>
    <t>Se cumplió en el primer trimestre</t>
  </si>
  <si>
    <t>Se realizó sondeo de opinión  a los aeropuertos de Villavicencio, Popayán y  Florencia según cronograma establecido esta programada la visita al aeropuerto de   Ibagué  pero la aplicación se hará una vez se verifique el traslado de las aerolíneas a la nueva terminal aérea recientemente inaugurada.</t>
  </si>
  <si>
    <t>Por desarrollar de acuerdo con la aplicación del sondeo en los Aeropuertos seleccionados.</t>
  </si>
  <si>
    <t>Por desarrollar de acuerdo con la tabulación, el análisis y la consolidación.</t>
  </si>
  <si>
    <t>Se socializara con la administración del Aeropuerto trabajado, la Dirección Regional y las áreas que tengan injerencia en el tema.</t>
  </si>
  <si>
    <t xml:space="preserve">Bog7 1070 - Verificación de encuestas de Aptos VV, PP y FL. - correos electrónicos </t>
  </si>
  <si>
    <t>Se tiene un instrumento de medición donde se mide cada uno de los  servicios correspondiente a cada Dirección adscrita a la SSO, se tiene la medición de las direcciones de DSNA-DIA (80%). (La  DSA esta  socializando con la Oficina de Planificación los servicios aeroportuarios  para ser incorporados en la medición de las metas del PNA</t>
  </si>
  <si>
    <t xml:space="preserve">25% de avance Se verifico durante el trimestre que los proyectos suscritos en el PAA estén acordes con las metas del anexo de inversión del PNA </t>
  </si>
  <si>
    <t>Optimización de los procedimientos de aproximación, guía vertical Incluida.</t>
  </si>
  <si>
    <t>Información meteorológica soportando la eficiencia y la seguridad operacional mejorada.</t>
  </si>
  <si>
    <t>Mayor eficiencia para manejar la afluencia mediante la planificación basada en una visión a escala de la red</t>
  </si>
  <si>
    <r>
      <t xml:space="preserve">Se requiere cambio en la actividad ,quedaría así :  </t>
    </r>
    <r>
      <rPr>
        <b/>
        <sz val="11"/>
        <color indexed="8"/>
        <rFont val="Calibri"/>
        <family val="2"/>
      </rPr>
      <t>Implementación del instrumento  de medición para medir las metas del PNA en las direcciones de la SSO.</t>
    </r>
    <r>
      <rPr>
        <sz val="11"/>
        <color theme="1"/>
        <rFont val="Calibri"/>
        <family val="2"/>
        <scheme val="minor"/>
      </rPr>
      <t xml:space="preserve">
20% de avance.
Se  esta revisando la funcionalidad del instrumento en la DSA , DIA  y DSNA  </t>
    </r>
  </si>
  <si>
    <t xml:space="preserve"> Formato Excel de control del grupo de Proyectos: Una vez llega el proyecto   revisa que cada proyecto radicado cumpla con las etapas  de ordenación del Gasto de los Proyectos de inversión para solicitud del CDP. Verifica que  el proyecto se  encuentre en el PAA y en el PNA , de lo contrario  se devuelve a la dirección correspondiente para actualizar o corregir. </t>
  </si>
  <si>
    <t xml:space="preserve">
H:\1020-ControlInterno\2018\420 PLANEACION, GESTION, SEGUIMIENTO Y AUTOEVALUACION\420.2 PLAN DE ACCION\PLAN DE ACTIVIDADES - PLAN DE AUDITORIAS</t>
  </si>
  <si>
    <t>se evalúa frente a la gestión realizada por la Dirección de Telecomunicaciones, frente al 30% previsto para el primer trimestre. El área requiere ajustar el numero de proyectos (procesos) relacionados en cada actividad</t>
  </si>
  <si>
    <r>
      <rPr>
        <b/>
        <sz val="11"/>
        <rFont val="Calibri"/>
        <family val="2"/>
      </rPr>
      <t>%</t>
    </r>
    <r>
      <rPr>
        <sz val="11"/>
        <rFont val="Calibri"/>
        <family val="2"/>
      </rPr>
      <t>= [Número de proyectos radicados en D. Administrativa/ Proyectos estructurados Σ(DITEL+DIA+DSA)]*100</t>
    </r>
  </si>
  <si>
    <t>Fecha cumplimiento Diciembre 2018 - Trimestral en porcentaje</t>
  </si>
  <si>
    <r>
      <t xml:space="preserve">1. </t>
    </r>
    <r>
      <rPr>
        <sz val="11"/>
        <color indexed="10"/>
        <rFont val="Calibri"/>
        <family val="2"/>
      </rPr>
      <t>Actividades cumplidas Vs Actividades programadas</t>
    </r>
    <r>
      <rPr>
        <sz val="11"/>
        <color theme="1"/>
        <rFont val="Calibri"/>
        <family val="2"/>
        <scheme val="minor"/>
      </rPr>
      <t xml:space="preserve">
2. Rutas implementadas PBN 
3. Reducción de Bióxido Carbono
(Reducción de demoras en tiempo de vuelos civiles 2. Reducción en toneladas de CO2)</t>
    </r>
  </si>
  <si>
    <t xml:space="preserve">
Con el mismo indicador se realizará la declaración de capacidad con los ajustes que se vengan realizando en reuniones con la DSNA y LA SSO
1. Capacidad de espacio aéreos declarados TMA Bogotá Vs Espacios aéreos  TMA Bogotá.
2. Capacidad de pistas declaradas aeropuerto Bogotá Vs pistas aeropuerto Bogotá.
</t>
  </si>
  <si>
    <t xml:space="preserve">Legalización de la posición (cargo) dentro de la estructura organizacional (Optimización de procesos de intercambio de información por mensajería SSIM por parte de la aviación  no regular)
</t>
  </si>
  <si>
    <t>La circular 066 de la SSO se encuentra en revisión para la implementación formal del proceso CDM.</t>
  </si>
  <si>
    <t>Elaboración Diagnostico SWIM</t>
  </si>
  <si>
    <t>para el cumplimiento de esta actividad se programaron actividades tendientes a la modernización y prestación del servicio de Vigilancia  durante el trimestre del 14,13% y como avance de la vigencia 9,63%</t>
  </si>
  <si>
    <t>para el cumplimiento de esta actividad se programaron actividades tendientes a la modernización y prestación del servicio de Vigilancia  durante el semestre del 25,4% y como avance de la vigencia 22,4%</t>
  </si>
  <si>
    <t>para el cumplimiento de esta actividad se programaron actividades tendientes a la modernización y prestación del servicio SEI  durante el trimestre del 4,5% y como avance de la vigencia4,5%</t>
  </si>
  <si>
    <t>para el cumplimiento de esta actividad se programaron actividades tendientes a la modernización y prestación del servicio SEI  durante el semestre del 19,7% y como avance de la vigencia14,8%</t>
  </si>
  <si>
    <t>para el cumplimiento de esta actividad se programaron actividades tendientes a la modernización y prestación del servicio Ambiental  durante el trimestre del 12% y como avance de la vigencia 10%</t>
  </si>
  <si>
    <t>para el cumplimiento de esta actividad se programaron actividades tendientes a la modernización y prestación del servicio Ambiental  durante el semestre del 19,48 y como avance de la vigencia 16,84%</t>
  </si>
  <si>
    <t>para el cumplimiento de esta actividad se programaron actividades tendientes a la modernización y prestación del servicio de Sanidad  durante el trimestre del 3% y como avance de la vigencia4%</t>
  </si>
  <si>
    <t>para el cumplimiento de esta actividad se programaron actividades tendientes a la modernización y prestación del servicio de Sanidad  durante el semestre del 6,20% y como avance de la vigencia 6,70%</t>
  </si>
  <si>
    <t>para el primer trimestre no aplica su seguimiento, el cual consiste en establecer Centros de Control Operacional y brindar el apoyo para la Certificación de 2 aeropuertos.</t>
  </si>
  <si>
    <t>para el cumplimiento de esta actividad que tiene un peso del 5% del compromiso, se programaron actividades tendientes a la modernización y prestación del servicio de operaciones aeroportuarias  1,50% y como avance de la vigencia 0,80%</t>
  </si>
  <si>
    <t xml:space="preserve">Se envía archivo correspondiente al seguimiento implementado por SSO </t>
  </si>
  <si>
    <t>Se envía archivo correspondiente al seguimiento implementado por SSO</t>
  </si>
  <si>
    <t>Se viabilizaron dejando radicados en la Dirección Administrativa 23 proyectos que presentaron las áreas después de correcciones y acompañamiento por parte del GGPA.</t>
  </si>
  <si>
    <r>
      <t xml:space="preserve">NO SE HA INICIADO LA ACTIVIDAD DE ESTUDIOS PREVIOS.
</t>
    </r>
    <r>
      <rPr>
        <sz val="11"/>
        <rFont val="Calibri"/>
        <family val="2"/>
      </rPr>
      <t>No se cuenta con el recurso humano ni con el tiempo necesario para realizar esta actividad en paralelo con el contrato que está actualmente en ejecución 17000827OH hasta el 20 de Abril de 2018. Actividad y proyecto bajo la responsabilidad del Grupo de Seguridad de la Información. En el mes de abril se dará inicio a la actividad.</t>
    </r>
  </si>
  <si>
    <t>Validar el PROMEDIO</t>
  </si>
  <si>
    <t xml:space="preserve">CUMP OAP: </t>
  </si>
  <si>
    <r>
      <rPr>
        <b/>
        <sz val="11"/>
        <color indexed="8"/>
        <rFont val="Calibri"/>
        <family val="2"/>
      </rPr>
      <t>SE TIENEN AVANCES EN LOS 6 PLANES MESTROS ASI:</t>
    </r>
    <r>
      <rPr>
        <sz val="11"/>
        <color theme="1"/>
        <rFont val="Calibri"/>
        <family val="2"/>
        <scheme val="minor"/>
      </rPr>
      <t xml:space="preserve">
</t>
    </r>
    <r>
      <rPr>
        <u/>
        <sz val="11"/>
        <color indexed="8"/>
        <rFont val="Calibri"/>
        <family val="2"/>
      </rPr>
      <t xml:space="preserve">ENTREGABLE 1 </t>
    </r>
    <r>
      <rPr>
        <sz val="11"/>
        <color theme="1"/>
        <rFont val="Calibri"/>
        <family val="2"/>
        <scheme val="minor"/>
      </rPr>
      <t xml:space="preserve">
Desarrollo de la introducción, inventarios de diagnostico de los aeropuertos y socialización. diagnostico, documentación revisada por la el grupo de planificación aeroportuaria.
</t>
    </r>
    <r>
      <rPr>
        <u/>
        <sz val="11"/>
        <color indexed="8"/>
        <rFont val="Calibri"/>
        <family val="2"/>
      </rPr>
      <t>ENTREGABLE 2</t>
    </r>
    <r>
      <rPr>
        <sz val="11"/>
        <color theme="1"/>
        <rFont val="Calibri"/>
        <family val="2"/>
        <scheme val="minor"/>
      </rPr>
      <t xml:space="preserve">
Se realiza avance en las actividades de estudio socioeconómico y pronósticos de la demanda, y análisis de capacidad revisada por el GPA
</t>
    </r>
    <r>
      <rPr>
        <b/>
        <sz val="11"/>
        <color indexed="8"/>
        <rFont val="Calibri"/>
        <family val="2"/>
      </rPr>
      <t>Nota 1:</t>
    </r>
    <r>
      <rPr>
        <sz val="11"/>
        <color theme="1"/>
        <rFont val="Calibri"/>
        <family val="2"/>
        <scheme val="minor"/>
      </rPr>
      <t xml:space="preserve"> Se aclara que el avance del 37,35% incluye el avance de los 6 planes maestros los cuales hacen parte de la consultoria de la red aeroportuaria de Pacifico y Centro de Colombia compuesto por los aeropuertos de  Condoto, Nuqui, Guapi y Pitalito, Mompox, Puerto Carreño,
</t>
    </r>
    <r>
      <rPr>
        <b/>
        <sz val="11"/>
        <color indexed="8"/>
        <rFont val="Calibri"/>
        <family val="2"/>
      </rPr>
      <t>Nota 2:</t>
    </r>
    <r>
      <rPr>
        <sz val="11"/>
        <color theme="1"/>
        <rFont val="Calibri"/>
        <family val="2"/>
        <scheme val="minor"/>
      </rPr>
      <t xml:space="preserve"> El avance real de ejecución es del</t>
    </r>
    <r>
      <rPr>
        <b/>
        <sz val="11"/>
        <color indexed="8"/>
        <rFont val="Calibri"/>
        <family val="2"/>
      </rPr>
      <t xml:space="preserve"> 33,02%</t>
    </r>
    <r>
      <rPr>
        <sz val="11"/>
        <color theme="1"/>
        <rFont val="Calibri"/>
        <family val="2"/>
        <scheme val="minor"/>
      </rPr>
      <t xml:space="preserve"> a marzo 30 de 2018  frnte a lo proyectado del </t>
    </r>
    <r>
      <rPr>
        <b/>
        <sz val="11"/>
        <color indexed="8"/>
        <rFont val="Calibri"/>
        <family val="2"/>
      </rPr>
      <t>35,25%</t>
    </r>
    <r>
      <rPr>
        <sz val="11"/>
        <color theme="1"/>
        <rFont val="Calibri"/>
        <family val="2"/>
        <scheme val="minor"/>
      </rPr>
      <t xml:space="preserve"> , según curva S de programación de actividades dando un cumplimiento del</t>
    </r>
    <r>
      <rPr>
        <b/>
        <sz val="11"/>
        <color indexed="8"/>
        <rFont val="Calibri"/>
        <family val="2"/>
      </rPr>
      <t xml:space="preserve"> 93,7%</t>
    </r>
  </si>
  <si>
    <r>
      <t>Aprobado el proyecto para la actulaizacion del plan maestro del aeropuerto Eldorado , se expide  el certificado de disponibilidad presupuestal SIIF 37618 con fecha de registro 2018-03-21 por valor de $4,500,000 de presupuesto total con vigencia 2018 y objeto:</t>
    </r>
    <r>
      <rPr>
        <b/>
        <sz val="11"/>
        <color indexed="8"/>
        <rFont val="Calibri"/>
        <family val="2"/>
      </rPr>
      <t xml:space="preserve"> CONTRATAR LA ACTUALIZACION DEL PLAN MAESTRO AEROPORTUARIO DEL AEROPUERTO EL DORADO D ELA CIUDAD DE BOGOTA </t>
    </r>
    <r>
      <rPr>
        <sz val="11"/>
        <color theme="1"/>
        <rFont val="Calibri"/>
        <family val="2"/>
        <scheme val="minor"/>
      </rPr>
      <t xml:space="preserve">
Como ordenador del gasto, el director general firma los documentos soportes del proyecto. los cuales se radican en la dirección administrativa con ADI 4005,106,-2018008300  para dar inicio del proceso precontractual de pliegos y publicación del concurso de méritos
</t>
    </r>
    <r>
      <rPr>
        <b/>
        <sz val="11"/>
        <color indexed="8"/>
        <rFont val="Calibri"/>
        <family val="2"/>
      </rPr>
      <t xml:space="preserve">
</t>
    </r>
    <r>
      <rPr>
        <b/>
        <sz val="11"/>
        <color indexed="10"/>
        <rFont val="Calibri"/>
        <family val="2"/>
      </rPr>
      <t xml:space="preserve">NOTA: EN COMITE DIRECTIVO DE LA PRIMERA QUINCENA DE ENERO EN DONDE SE PRESENTO EL PRESUPUESTO DE CADA AREA Y LOS PROYECTOS A EJECUTAR EN LA VIGENCIA 2018, EL DIRECTOR GENERAL DIO LA INSTRUCCION DE NO DETERMINAR EN EL PAAC QUE AEROPUERTOS SERAN INTERVENIDOS PARA LA ACTUALIZACION O ELABORACION DE PLANES MAESTROS EN LA PRESENTE VIGENCIA, HASTA TANTO NO SE ANALICEN LAS PRIORIDADES DE LOS MISMOS.
UNA VEZ ATENDIDA LA INSTRUCIÓN DE LA DIRECCION GENERAL, SE AUTORIZA LA ACTUALIZACIÓN DEL PLAN MAESTRO PARA EL AEROPUERTO INTERNACIONAL ELDORADO Y  SE PROCEDE A REMITIR LA RELACION DE INDICADORES Y EL PLAN DE ACCION DEL GRUPO DE PLANIFICACION AEROPORTUARIA A LA SSO,  MEDIANTE COMUNICACION 4005.106.2018004041. EN DONDE SE DETERMINA LA ATENCION DE UN (1) AEROPUERTO Y NO DE DOS COMO APARECE EN EL INFORME DEL INDICADOR 
POR LO ANTERIOR,  EL SEGUIMIENTO AL INDICADOR DURANTE ESTE PRIMER TRIMESTRE SE HA EFECTUADO DE MANERA OPORTURNA ATENDIENDO LA COMUNICACION ADI 2018002968 DE LA SSO.                                                                                                                                                                         SE HACE NECESARIO QUE LA OFICINA ASESORA DE PLANEACIÓN ACTUALICE EL PAA Y LOS INDICADORES RESPECTIVOS AJUSTADOS AL PLAN DE ACCIÓN APROBADO PARA EL GRUPO DE PLANIFICACIÓN AEROPORTUARIA.
</t>
    </r>
    <r>
      <rPr>
        <b/>
        <sz val="11"/>
        <rFont val="Calibri"/>
        <family val="2"/>
      </rPr>
      <t xml:space="preserve">Nota 1:  </t>
    </r>
    <r>
      <rPr>
        <sz val="11"/>
        <rFont val="Calibri"/>
        <family val="2"/>
      </rPr>
      <t xml:space="preserve">El avance real de ejecución es del </t>
    </r>
    <r>
      <rPr>
        <b/>
        <sz val="11"/>
        <rFont val="Calibri"/>
        <family val="2"/>
      </rPr>
      <t>43,55%</t>
    </r>
    <r>
      <rPr>
        <sz val="11"/>
        <rFont val="Calibri"/>
        <family val="2"/>
      </rPr>
      <t xml:space="preserve"> a marzo 30 de 2018 y El avance contemplado trimestral como meta es del </t>
    </r>
    <r>
      <rPr>
        <b/>
        <sz val="11"/>
        <rFont val="Calibri"/>
        <family val="2"/>
      </rPr>
      <t xml:space="preserve">40,00% </t>
    </r>
    <r>
      <rPr>
        <sz val="11"/>
        <rFont val="Calibri"/>
        <family val="2"/>
      </rPr>
      <t>según programación de actividades  precontractuales contempladas en el cronograma, este avance es solo precontractual para el concurso de méritos, dando un cumplimiento de</t>
    </r>
    <r>
      <rPr>
        <b/>
        <sz val="11"/>
        <rFont val="Calibri"/>
        <family val="2"/>
      </rPr>
      <t>l 100%</t>
    </r>
  </si>
  <si>
    <r>
      <t xml:space="preserve">* nos encontranos atentos a los requerimientos del Ministerio de transporte para el desarrollo del  PMTI- sector aereo ; en la actualidad esta en proceso el analisis de los aeropuertos que deben ser integrados al PMTI; igualmente se esta elaborando la definicion de las condiciones de conectividad de estos aeropouertos 
</t>
    </r>
    <r>
      <rPr>
        <b/>
        <sz val="11"/>
        <color indexed="8"/>
        <rFont val="Calibri"/>
        <family val="2"/>
      </rPr>
      <t xml:space="preserve">Nota 2: </t>
    </r>
    <r>
      <rPr>
        <sz val="11"/>
        <color theme="1"/>
        <rFont val="Calibri"/>
        <family val="2"/>
        <scheme val="minor"/>
      </rPr>
      <t xml:space="preserve">El avance real de ejecución es del </t>
    </r>
    <r>
      <rPr>
        <b/>
        <sz val="11"/>
        <color indexed="8"/>
        <rFont val="Calibri"/>
        <family val="2"/>
      </rPr>
      <t>20,00%</t>
    </r>
    <r>
      <rPr>
        <sz val="11"/>
        <color theme="1"/>
        <rFont val="Calibri"/>
        <family val="2"/>
        <scheme val="minor"/>
      </rPr>
      <t xml:space="preserve"> a marzo de 2018 y el avance contemplado trimestral como meta es del </t>
    </r>
    <r>
      <rPr>
        <b/>
        <sz val="11"/>
        <color indexed="8"/>
        <rFont val="Calibri"/>
        <family val="2"/>
      </rPr>
      <t xml:space="preserve">20% </t>
    </r>
    <r>
      <rPr>
        <sz val="11"/>
        <color theme="1"/>
        <rFont val="Calibri"/>
        <family val="2"/>
        <scheme val="minor"/>
      </rPr>
      <t>según programación de actividades dando un cumplimiento del 100%</t>
    </r>
  </si>
  <si>
    <r>
      <t xml:space="preserve">*En proceso definición de metodología  en la reformulacion con el enfoque de proyectos  ( EDT)  para ser incorporadas a la version 9 del PNA. 
* *Se envió oficio a las áreas  de la Aerocivil que intervienen en el PNA , bajo adi 2018006586, 6590, 6592, 6601, 6617, 6579 para que se delegue un profesional para que integre el equipo de trabajo multidisciplinario dentro del proceso de actualización del PNA,  teniendo en cuenta las competencias fucnbionlaes de cada aerea.    
</t>
    </r>
    <r>
      <rPr>
        <b/>
        <sz val="11"/>
        <color indexed="8"/>
        <rFont val="Calibri"/>
        <family val="2"/>
      </rPr>
      <t>Nota 1:</t>
    </r>
    <r>
      <rPr>
        <sz val="11"/>
        <color theme="1"/>
        <rFont val="Calibri"/>
        <family val="2"/>
        <scheme val="minor"/>
      </rPr>
      <t xml:space="preserve">  avance real de ejecución es del</t>
    </r>
    <r>
      <rPr>
        <b/>
        <sz val="11"/>
        <color indexed="8"/>
        <rFont val="Calibri"/>
        <family val="2"/>
      </rPr>
      <t xml:space="preserve"> 17,65%</t>
    </r>
    <r>
      <rPr>
        <sz val="11"/>
        <color theme="1"/>
        <rFont val="Calibri"/>
        <family val="2"/>
        <scheme val="minor"/>
      </rPr>
      <t xml:space="preserve"> a marzo de 2018 y El avance contemplado trimestral como meta es del </t>
    </r>
    <r>
      <rPr>
        <b/>
        <sz val="11"/>
        <color indexed="8"/>
        <rFont val="Calibri"/>
        <family val="2"/>
      </rPr>
      <t xml:space="preserve">20%, </t>
    </r>
    <r>
      <rPr>
        <sz val="11"/>
        <color theme="1"/>
        <rFont val="Calibri"/>
        <family val="2"/>
        <scheme val="minor"/>
      </rPr>
      <t xml:space="preserve"> según programación de actividades, dando un cumplimiento del </t>
    </r>
    <r>
      <rPr>
        <b/>
        <sz val="11"/>
        <color indexed="8"/>
        <rFont val="Calibri"/>
        <family val="2"/>
      </rPr>
      <t>88,3%</t>
    </r>
  </si>
  <si>
    <t>CUMP OAP:</t>
  </si>
  <si>
    <t>Fuente : Áreas Entidad y consolidado OAP.</t>
  </si>
  <si>
    <r>
      <rPr>
        <b/>
        <sz val="11"/>
        <color indexed="8"/>
        <rFont val="Calibri"/>
        <family val="2"/>
      </rPr>
      <t xml:space="preserve">Proyecto de Circular: </t>
    </r>
    <r>
      <rPr>
        <sz val="11"/>
        <color theme="1"/>
        <rFont val="Calibri"/>
        <family val="2"/>
        <scheme val="minor"/>
      </rPr>
      <t xml:space="preserve">Disponible en Bog7 del Grupo de Inspección de Operaciones y correo electrónico del Secretario de Seguridad Aérea - SSOAC.
</t>
    </r>
    <r>
      <rPr>
        <b/>
        <sz val="11"/>
        <color indexed="8"/>
        <rFont val="Calibri"/>
        <family val="2"/>
      </rPr>
      <t xml:space="preserve">
Aprobación de las especificaciones: </t>
    </r>
    <r>
      <rPr>
        <sz val="11"/>
        <color theme="1"/>
        <rFont val="Calibri"/>
        <family val="2"/>
        <scheme val="minor"/>
      </rPr>
      <t xml:space="preserve">Disponible en Bog7 de la SSOAC. 
</t>
    </r>
    <r>
      <rPr>
        <b/>
        <sz val="11"/>
        <color indexed="8"/>
        <rFont val="Calibri"/>
        <family val="2"/>
      </rPr>
      <t xml:space="preserve">
Proyecto de Resolución: </t>
    </r>
    <r>
      <rPr>
        <sz val="11"/>
        <color theme="1"/>
        <rFont val="Calibri"/>
        <family val="2"/>
        <scheme val="minor"/>
      </rPr>
      <t xml:space="preserve">Disponible en Bog7 de la SSOAC. 
</t>
    </r>
    <r>
      <rPr>
        <b/>
        <sz val="11"/>
        <color indexed="8"/>
        <rFont val="Calibri"/>
        <family val="2"/>
      </rPr>
      <t xml:space="preserve">
Proceso de armonización: </t>
    </r>
    <r>
      <rPr>
        <sz val="11"/>
        <color theme="1"/>
        <rFont val="Calibri"/>
        <family val="2"/>
        <scheme val="minor"/>
      </rPr>
      <t xml:space="preserve">Disponibles en la pagina web de la Aerocivil </t>
    </r>
  </si>
  <si>
    <r>
      <rPr>
        <b/>
        <sz val="11"/>
        <rFont val="Calibri"/>
        <family val="2"/>
      </rPr>
      <t xml:space="preserve">La SSOAC en contribución al citado compromiso a trabajado los siguientes temas:
</t>
    </r>
    <r>
      <rPr>
        <sz val="11"/>
        <rFont val="Calibri"/>
        <family val="2"/>
      </rPr>
      <t xml:space="preserve">
- Elaboración de proyecto de Circular para la estandarización de la operación de los vuelos Chárter extranjeros y se encuentra en proceso de firma por parte de la Dirección General.
-  Aprobación de las especificaciones de operación a 10 Operadores Extranjeros (RAC 4.29).
- Proyecto de Resolución, para la operación de Taxis Aéreos en rutas no regulares sin ninguna restricción, en rutas no comerciales (Modificación RAC 3.6.3.3.1.7.1)
- Proceso de armonización de los RAC en trabajo con la OTA, a continuación relacionados:
</t>
    </r>
    <r>
      <rPr>
        <b/>
        <sz val="11"/>
        <rFont val="Calibri"/>
        <family val="2"/>
      </rPr>
      <t>RAC 121 -</t>
    </r>
    <r>
      <rPr>
        <sz val="11"/>
        <rFont val="Calibri"/>
        <family val="2"/>
      </rPr>
      <t xml:space="preserve"> Requisitos de operación (operaciones domesticas, internacionales, regules y no regulares) - PBMO &gt; 5700 Kg
</t>
    </r>
    <r>
      <rPr>
        <b/>
        <sz val="11"/>
        <rFont val="Calibri"/>
        <family val="2"/>
      </rPr>
      <t>RAC 135</t>
    </r>
    <r>
      <rPr>
        <sz val="11"/>
        <rFont val="Calibri"/>
        <family val="2"/>
      </rPr>
      <t xml:space="preserve"> - Requisitos de operación (operaciones domesticas, internacionales, regules y no regulares) - PBMO &lt; 5700 Kg 
</t>
    </r>
    <r>
      <rPr>
        <b/>
        <sz val="11"/>
        <rFont val="Calibri"/>
        <family val="2"/>
      </rPr>
      <t>RAC 91</t>
    </r>
    <r>
      <rPr>
        <sz val="11"/>
        <rFont val="Calibri"/>
        <family val="2"/>
      </rPr>
      <t xml:space="preserve"> - Reglas Generales de Vuelo y de Operación
</t>
    </r>
    <r>
      <rPr>
        <b/>
        <sz val="11"/>
        <rFont val="Calibri"/>
        <family val="2"/>
      </rPr>
      <t>RAC 119</t>
    </r>
    <r>
      <rPr>
        <sz val="11"/>
        <rFont val="Calibri"/>
        <family val="2"/>
      </rPr>
      <t xml:space="preserve"> - Certificación de Explotadores de Servicios Aéreos - Nuevo RAC 119
</t>
    </r>
    <r>
      <rPr>
        <b/>
        <sz val="11"/>
        <rFont val="Calibri"/>
        <family val="2"/>
      </rPr>
      <t xml:space="preserve">RAC 129 </t>
    </r>
    <r>
      <rPr>
        <sz val="11"/>
        <rFont val="Calibri"/>
        <family val="2"/>
      </rPr>
      <t xml:space="preserve">- Operaciones de Explotadores Extranjeros 
</t>
    </r>
    <r>
      <rPr>
        <b/>
        <sz val="11"/>
        <rFont val="Calibri"/>
        <family val="2"/>
      </rPr>
      <t xml:space="preserve">RAC 219 </t>
    </r>
    <r>
      <rPr>
        <sz val="11"/>
        <rFont val="Calibri"/>
        <family val="2"/>
      </rPr>
      <t>- Implementación del Sistema SMS</t>
    </r>
  </si>
  <si>
    <r>
      <rPr>
        <b/>
        <sz val="11"/>
        <color indexed="8"/>
        <rFont val="Calibri"/>
        <family val="2"/>
      </rPr>
      <t xml:space="preserve">Proyecto de Circular: </t>
    </r>
    <r>
      <rPr>
        <sz val="11"/>
        <color theme="1"/>
        <rFont val="Calibri"/>
        <family val="2"/>
        <scheme val="minor"/>
      </rPr>
      <t>Disponible en Bog7 de la SSOAC.</t>
    </r>
  </si>
  <si>
    <r>
      <rPr>
        <b/>
        <sz val="11"/>
        <color indexed="8"/>
        <rFont val="Calibri"/>
        <family val="2"/>
      </rPr>
      <t xml:space="preserve">Programación anual de las capacitaciones - </t>
    </r>
    <r>
      <rPr>
        <sz val="11"/>
        <color theme="1"/>
        <rFont val="Calibri"/>
        <family val="2"/>
        <scheme val="minor"/>
      </rPr>
      <t>Disponible en el Bog7 de la SSOAC.</t>
    </r>
  </si>
  <si>
    <r>
      <t xml:space="preserve">Ejecutar la capacitaciones y  presentar un informe de ejecución.
De los 76 eventos de capacitación en 62 temáticas propuestas en el cronograma presentado, se han ejecutado 13 eventos, que refieren al 17% de cumplimiento.
</t>
    </r>
    <r>
      <rPr>
        <b/>
        <sz val="11"/>
        <rFont val="Calibri"/>
        <family val="2"/>
      </rPr>
      <t xml:space="preserve">Nota: </t>
    </r>
    <r>
      <rPr>
        <sz val="11"/>
        <rFont val="Calibri"/>
        <family val="2"/>
      </rPr>
      <t xml:space="preserve">De las temáticas de capacitación propuestas se replantearon 8 temáticas por asuntos referidos a la restricción de capacitación a provisionales, teniendo en cuenta que el 88% de los Inspectores son Provisionales. </t>
    </r>
  </si>
  <si>
    <r>
      <rPr>
        <b/>
        <sz val="11"/>
        <color indexed="8"/>
        <rFont val="Calibri"/>
        <family val="2"/>
      </rPr>
      <t xml:space="preserve">Avance del componente LAR AGA
- RAC 139 y RAC 153 - </t>
    </r>
    <r>
      <rPr>
        <sz val="11"/>
        <color theme="1"/>
        <rFont val="Calibri"/>
        <family val="2"/>
        <scheme val="minor"/>
      </rPr>
      <t>Se generaron los proyectos de Resolución de los citados RAC y se entrego proyecto a la OTA.</t>
    </r>
    <r>
      <rPr>
        <b/>
        <sz val="10"/>
        <color indexed="8"/>
        <rFont val="Arial"/>
        <family val="2"/>
      </rPr>
      <t/>
    </r>
  </si>
  <si>
    <r>
      <rPr>
        <b/>
        <sz val="11"/>
        <rFont val="Calibri"/>
        <family val="2"/>
      </rPr>
      <t xml:space="preserve">Avance del componente LAR AGA
- RAC 139 - </t>
    </r>
    <r>
      <rPr>
        <sz val="11"/>
        <rFont val="Calibri"/>
        <family val="2"/>
      </rPr>
      <t xml:space="preserve">Se entrego proyecto a la OTA, se realizo reunión y socialización con la industria el 11 de mayo de 2018 - Cumplimiento 90%
</t>
    </r>
    <r>
      <rPr>
        <b/>
        <sz val="11"/>
        <rFont val="Calibri"/>
        <family val="2"/>
      </rPr>
      <t xml:space="preserve">
- RAC 153 - </t>
    </r>
    <r>
      <rPr>
        <sz val="11"/>
        <rFont val="Calibri"/>
        <family val="2"/>
      </rPr>
      <t xml:space="preserve">Se realizo reunión de socialización con la industria, pendiente de publicación por parte de la OTA - Cumplimiento 95%
</t>
    </r>
    <r>
      <rPr>
        <b/>
        <sz val="11"/>
        <rFont val="Calibri"/>
        <family val="2"/>
      </rPr>
      <t xml:space="preserve">
- RAC 154 - </t>
    </r>
    <r>
      <rPr>
        <sz val="11"/>
        <rFont val="Calibri"/>
        <family val="2"/>
      </rPr>
      <t xml:space="preserve">Se esta trabajando en el proyecto de norma para la entrega a la OTA - Cumplimiento 80%
</t>
    </r>
    <r>
      <rPr>
        <b/>
        <sz val="11"/>
        <rFont val="Calibri"/>
        <family val="2"/>
      </rPr>
      <t xml:space="preserve">
- RAC 155 - </t>
    </r>
    <r>
      <rPr>
        <sz val="11"/>
        <rFont val="Calibri"/>
        <family val="2"/>
      </rPr>
      <t>Durante el tercer trimestre de 2018 se adoptará el LAR 155 - Cumplimiento 20%</t>
    </r>
    <r>
      <rPr>
        <b/>
        <sz val="11"/>
        <rFont val="Calibri"/>
        <family val="2"/>
      </rPr>
      <t xml:space="preserve">
Norma de Seguridad de la Aviación
- RAC 160 - </t>
    </r>
    <r>
      <rPr>
        <sz val="11"/>
        <rFont val="Calibri"/>
        <family val="2"/>
      </rPr>
      <t xml:space="preserve">Mediante Resolución 01145 del 27 de abril de 2018 se modifico el Articulo Tercero. Transitorio de la Resolución 01085 del 21 de abril de 2018.
</t>
    </r>
    <r>
      <rPr>
        <b/>
        <sz val="11"/>
        <rFont val="Calibri"/>
        <family val="2"/>
      </rPr>
      <t xml:space="preserve">
Norma de Facilitación
- RAC 200 -</t>
    </r>
    <r>
      <rPr>
        <sz val="11"/>
        <rFont val="Calibri"/>
        <family val="2"/>
      </rPr>
      <t xml:space="preserve"> Este RAC no hace parte de la armonización de los componentes LAR y no ha sido objeto de modificación.</t>
    </r>
  </si>
  <si>
    <r>
      <t xml:space="preserve">Se realizó el seguimiento a la implementación de las fases del proceso de certificación en los Aeropuertos a continuación relacionados: 
</t>
    </r>
    <r>
      <rPr>
        <b/>
        <sz val="11"/>
        <color indexed="59"/>
        <rFont val="Calibri"/>
        <family val="2"/>
      </rPr>
      <t xml:space="preserve">- Cartagena - </t>
    </r>
    <r>
      <rPr>
        <sz val="11"/>
        <color indexed="59"/>
        <rFont val="Calibri"/>
        <family val="2"/>
      </rPr>
      <t xml:space="preserve">Fase 4 y 5
</t>
    </r>
    <r>
      <rPr>
        <b/>
        <sz val="11"/>
        <color indexed="59"/>
        <rFont val="Calibri"/>
        <family val="2"/>
      </rPr>
      <t xml:space="preserve">- Bucaramanga </t>
    </r>
    <r>
      <rPr>
        <sz val="11"/>
        <color indexed="59"/>
        <rFont val="Calibri"/>
        <family val="2"/>
      </rPr>
      <t xml:space="preserve">- Fase 3A y 3B
</t>
    </r>
    <r>
      <rPr>
        <b/>
        <sz val="11"/>
        <color indexed="59"/>
        <rFont val="Calibri"/>
        <family val="2"/>
      </rPr>
      <t xml:space="preserve">- Cúcuta </t>
    </r>
    <r>
      <rPr>
        <sz val="11"/>
        <color indexed="59"/>
        <rFont val="Calibri"/>
        <family val="2"/>
      </rPr>
      <t xml:space="preserve">- Fase 3A y 3B
</t>
    </r>
    <r>
      <rPr>
        <b/>
        <sz val="11"/>
        <color indexed="59"/>
        <rFont val="Calibri"/>
        <family val="2"/>
      </rPr>
      <t xml:space="preserve">- Barranquilla </t>
    </r>
    <r>
      <rPr>
        <sz val="11"/>
        <color indexed="59"/>
        <rFont val="Calibri"/>
        <family val="2"/>
      </rPr>
      <t>- Fase 3A y 3B</t>
    </r>
  </si>
  <si>
    <r>
      <t xml:space="preserve">Se realizó el seguimiento al cronograma de desarrollo de obras en los aeropuertos propuestos, así: 
</t>
    </r>
    <r>
      <rPr>
        <b/>
        <sz val="11"/>
        <color indexed="59"/>
        <rFont val="Calibri"/>
        <family val="2"/>
      </rPr>
      <t xml:space="preserve">- Cartagena - </t>
    </r>
    <r>
      <rPr>
        <sz val="11"/>
        <color indexed="59"/>
        <rFont val="Calibri"/>
        <family val="2"/>
      </rPr>
      <t xml:space="preserve">Se terminaron las obras en el mes de junio de 2018.
</t>
    </r>
    <r>
      <rPr>
        <b/>
        <sz val="11"/>
        <color indexed="59"/>
        <rFont val="Calibri"/>
        <family val="2"/>
      </rPr>
      <t xml:space="preserve">- Barranquilla - </t>
    </r>
    <r>
      <rPr>
        <sz val="11"/>
        <color indexed="59"/>
        <rFont val="Calibri"/>
        <family val="2"/>
      </rPr>
      <t>Pendiente por parte de la ANI realizar la adición al Contrato de Concesión de Obra - Calle de salida directa desde la base SEI a pista.</t>
    </r>
  </si>
  <si>
    <r>
      <rPr>
        <b/>
        <sz val="11"/>
        <color indexed="8"/>
        <rFont val="Calibri"/>
        <family val="2"/>
      </rPr>
      <t>Cronograma de actividades</t>
    </r>
    <r>
      <rPr>
        <sz val="11"/>
        <color theme="1"/>
        <rFont val="Calibri"/>
        <family val="2"/>
        <scheme val="minor"/>
      </rPr>
      <t xml:space="preserve"> - Disponible en el Bog7 del Grupo de Gestión de Seguridad Operacional.</t>
    </r>
  </si>
  <si>
    <t>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t>
  </si>
  <si>
    <t>Elaborar y socializar circular especificando tareas y responsables de las actividades contempladas en la política de Gobierno en Línea - GEL</t>
  </si>
  <si>
    <r>
      <t xml:space="preserve">SECRETARÍA GENERAL - </t>
    </r>
    <r>
      <rPr>
        <sz val="11"/>
        <rFont val="Calibri"/>
        <family val="2"/>
      </rPr>
      <t>DIRECCIÓN  FINANCIERA</t>
    </r>
  </si>
  <si>
    <t>Fortalecer la mejora continua de la Entidad asociadas al plan de mejoramiento de la Oficina de Control Interno</t>
  </si>
  <si>
    <t>Fortalecer la mejora continua de la Entidad asociadas al plan de mejoramiento de la CGR</t>
  </si>
  <si>
    <t>METAS CUMPLIDAS:  0</t>
  </si>
  <si>
    <t>METAS: 3</t>
  </si>
  <si>
    <t>META: 1</t>
  </si>
  <si>
    <t>META CUMPLIDA: 0</t>
  </si>
  <si>
    <t>METAS: 6</t>
  </si>
  <si>
    <t>META: 2</t>
  </si>
  <si>
    <t>META: 4</t>
  </si>
  <si>
    <t>META :  1</t>
  </si>
  <si>
    <t>META:  1</t>
  </si>
  <si>
    <t>METAS : 10</t>
  </si>
  <si>
    <t>METAS CUMPLIDAS: 0</t>
  </si>
  <si>
    <t>CUMP OAP :</t>
  </si>
  <si>
    <t>METAS :  1</t>
  </si>
  <si>
    <t>METAS:  4</t>
  </si>
  <si>
    <t>METAS:  3</t>
  </si>
  <si>
    <t>METAS:   7</t>
  </si>
  <si>
    <t>METAS CUMPLIDAS: 1</t>
  </si>
  <si>
    <t>META:   1</t>
  </si>
  <si>
    <t>METAS  CUMPLIDA:  0</t>
  </si>
  <si>
    <t>METAS:  5</t>
  </si>
  <si>
    <t>METAS CUMPLIDAS : 1</t>
  </si>
  <si>
    <t>META  CUMPLIDA: 0</t>
  </si>
  <si>
    <t>CUMP OAP  :</t>
  </si>
  <si>
    <t xml:space="preserve">CUMP ÁREA :   </t>
  </si>
  <si>
    <t>CUMP ÁREA : 79%</t>
  </si>
  <si>
    <t>CUMP ÁREA: 89%</t>
  </si>
  <si>
    <t>CUMP ÁREA:  90%</t>
  </si>
  <si>
    <t>CUMP ÁREA : 98%</t>
  </si>
  <si>
    <t>CUMP ÁREA : 93%</t>
  </si>
  <si>
    <t xml:space="preserve">CUMP ÁREA :  </t>
  </si>
  <si>
    <t>CUMP ÁREA:  88,23%</t>
  </si>
  <si>
    <t>CUMP ÁREA :  85%</t>
  </si>
  <si>
    <t xml:space="preserve">CUMP ÁREA  :  </t>
  </si>
  <si>
    <t>CUMP ÁREA :  87%</t>
  </si>
  <si>
    <t>CUMP ÁREA :  98%</t>
  </si>
  <si>
    <t>CUMP ÁREA :  100%</t>
  </si>
  <si>
    <t>CUMP ÁREA:  88%</t>
  </si>
  <si>
    <t xml:space="preserve">CUMP ÁREA:  </t>
  </si>
  <si>
    <t>25% I TRIMESTRE 
(EQ 100% CADA TRIMESTRE)</t>
  </si>
  <si>
    <t>25% II TRIMESTRE
(EQ 100% CADA TRIMESTRE)</t>
  </si>
  <si>
    <t>25% III TRIMESTRE
 (EQ 100% CADA TRIMESTRE)</t>
  </si>
  <si>
    <t>25% IV TRIMESTRE
 (EQ 100% CADA TRIMESTRE)</t>
  </si>
  <si>
    <r>
      <t xml:space="preserve">Compromiso No.1 : Se solicitará la OAP la incorporación de actividades macros que reflejen el ejercicio que se viene realizando al Sistema SIGMA y las acciones tomadas al respecto.
NOTA : Existen dos frentes uno con reportes generados y el otro de turnos)
RTA AREA : A MARZO (generadas 161 y turno 4,992)
Compromiso No.2 : (Indicador No.2) Se solicitara al Jefe de la OAP Actualización y/o ajuste al campo de la formula del indicador (No. Circulares publicadas Vs # circulares por revisar)*100
 Se solicitará la OAP la incorporación de actividades macros que reflejen el ejercicio que se viene realizando al Sistema SIGMA y las acciones tomadas al respecto.
RTA AREA : Circulares revisadas 73 EQ 50% y el otro 50% ajustar y/o actualizar)
</t>
    </r>
    <r>
      <rPr>
        <b/>
        <sz val="11"/>
        <color indexed="8"/>
        <rFont val="Calibri"/>
        <family val="2"/>
      </rPr>
      <t xml:space="preserve">EVIDENCIAS : Bog7 K:4004 - 2018 - Actividades delegado SSO 
20180604 - Seguimiento realizado con Ruben Dario - Jorge Ivan y Angela colorado
</t>
    </r>
  </si>
  <si>
    <r>
      <rPr>
        <b/>
        <sz val="11"/>
        <rFont val="Calibri"/>
        <family val="2"/>
      </rPr>
      <t xml:space="preserve">La SSOAC en contribución al citado compromiso a trabajado los siguientes temas:
</t>
    </r>
    <r>
      <rPr>
        <sz val="11"/>
        <rFont val="Calibri"/>
        <family val="2"/>
      </rPr>
      <t xml:space="preserve">- Se elaboró una matriz de costos referida a los procesos de certificación (cobro por tramite) y se remitió para la revisión y ajustes pertinentes al Grupo de Estudios Sectoriales y a la Oficina Asesora de Planeación. </t>
    </r>
  </si>
  <si>
    <t xml:space="preserve">Se  realizó programación anual ( Se adjunta evidencia).
Anexo No. 2.
Se realizará mejora del PIESO en el 2° semestre de 2018.
De 9 capacitaciones programadas para el 1° trimestre de 2018, se ejecutó una capacitación,  el acumulado de cumplimiento ejecución capacitación es del 2%, es decir de 62 temáticas programadas solo se ha ejecutado el 2%
El motivo de la baja ejecución se debe a la dificultad en la contratación por los parámetros establecidos durante la ley de garantías, tal como se evidencia en el correo adjunto Anexo No. 3 donde el área CEA reporta las novedades
</t>
  </si>
  <si>
    <t>Donde se encuentra el programa , cuantas son las instrucciones y entrenamientos ?  Que inconvenientes se tienen y como se están solucionando.</t>
  </si>
  <si>
    <r>
      <t xml:space="preserve">1.  Resaltado un compromiso estratégico en  color rojo que esta repetido respecto a la vigilancia de los proveedores de servicios dicha definición contempla como proveedor de servicio (las empresas aeronáuticas ,el personal aeronáutico, los aeródromos, servicios ANS, vigilancia AVSEC etc.) RAC11.
Nota: Por lo anterior con instrucción del Secretario de Seguridad Aérea se requiere establecer un solo un compromiso estratégico sobre la vigilancia a los proveedores de servicios sin separar las empresas aeronáuticas y personal aeronáutico, Contemplar un solo compromiso estratégico de la vigilancia a proveedores de servicios.  
2. De acuerdo con la  Dra. Claudia Liliana Olarte y Ricardo Aguirre el acuerdo de Bogotá contempla la certificación de 5 aeropuertos al año 2018, queda pendiente certificar 3 aeropuertos,  </t>
    </r>
    <r>
      <rPr>
        <sz val="10"/>
        <color indexed="10"/>
        <rFont val="Calibri"/>
        <family val="2"/>
      </rPr>
      <t>para lo cual se solicita por favor incluir en el nombre del indicador “ Lograr la certificación de 3 aeropuertos”, y modificar la cantidad en la meta a 3 aeropuertos. (No se puede cambiar en Sinergia)</t>
    </r>
    <r>
      <rPr>
        <sz val="10"/>
        <color indexed="8"/>
        <rFont val="Calibri"/>
        <family val="2"/>
      </rPr>
      <t xml:space="preserve"> 4. Respecto a los indicadores PEI adjunto presentación, quedó pendiente de  los indicadores de AVSEC ya están trabajando las áreas para el envío de datos correspondientes, dado que están pidiendo la medición de estos indicadores de la vigencia 2017 al área que manejaba esta información,  la cual actualmente no reposa en esta Secretaría.. </t>
    </r>
    <r>
      <rPr>
        <sz val="10"/>
        <color indexed="10"/>
        <rFont val="Calibri"/>
        <family val="2"/>
      </rPr>
      <t>(Correos electrónicos de fecha 17 de abril de 2018)</t>
    </r>
  </si>
  <si>
    <t xml:space="preserve">Se está revisando en coordinación con la OTA el RAC 153,  y se entregará la versión final el 17 de abril.
Se desarrollo borrador del RAC 139
Se estableció fecha de entrega de observaciones al RAC 154 el 9 DE MAYO 2018.
Se trabajará RAC 160 Y 200 entre el 2° y 3° trimestre de 2018.
</t>
  </si>
  <si>
    <r>
      <rPr>
        <b/>
        <sz val="11"/>
        <color indexed="8"/>
        <rFont val="Calibri"/>
        <family val="2"/>
      </rPr>
      <t xml:space="preserve">Avance del componente LAR AGA
- RAC 139 y RAC 153 - </t>
    </r>
    <r>
      <rPr>
        <sz val="11"/>
        <color theme="1"/>
        <rFont val="Calibri"/>
        <family val="2"/>
        <scheme val="minor"/>
      </rPr>
      <t xml:space="preserve">Pagina web de la Aerocivil: Proyectos de resolución, Transporte Aéreo.
</t>
    </r>
    <r>
      <rPr>
        <b/>
        <sz val="11"/>
        <color indexed="8"/>
        <rFont val="Calibri"/>
        <family val="2"/>
      </rPr>
      <t xml:space="preserve">Link: </t>
    </r>
    <r>
      <rPr>
        <sz val="11"/>
        <color theme="1"/>
        <rFont val="Calibri"/>
        <family val="2"/>
        <scheme val="minor"/>
      </rPr>
      <t xml:space="preserve">http://www.aerocivil.gov.co/normatividad/transporte
</t>
    </r>
    <r>
      <rPr>
        <b/>
        <sz val="11"/>
        <color indexed="8"/>
        <rFont val="Calibri"/>
        <family val="2"/>
      </rPr>
      <t xml:space="preserve">- RAC 154 y RAC 155 - </t>
    </r>
    <r>
      <rPr>
        <sz val="11"/>
        <color theme="1"/>
        <rFont val="Calibri"/>
        <family val="2"/>
        <scheme val="minor"/>
      </rPr>
      <t>Trazabilidad disponible en el Bog7: L:\5301-Cetifificacion Inspec Aero Serv Aerop\2018 y en el correo electrónico del Coordinador del Grupo.</t>
    </r>
    <r>
      <rPr>
        <b/>
        <sz val="11"/>
        <color indexed="8"/>
        <rFont val="Calibri"/>
        <family val="2"/>
      </rPr>
      <t xml:space="preserve">
</t>
    </r>
    <r>
      <rPr>
        <b/>
        <sz val="11"/>
        <rFont val="Calibri"/>
        <family val="2"/>
      </rPr>
      <t xml:space="preserve">
Norma de Seguridad de la Aviación
- RAC 160: </t>
    </r>
    <r>
      <rPr>
        <sz val="11"/>
        <rFont val="Calibri"/>
        <family val="2"/>
      </rPr>
      <t>Pagina web de la Aerocivil.</t>
    </r>
    <r>
      <rPr>
        <b/>
        <sz val="11"/>
        <rFont val="Calibri"/>
        <family val="2"/>
      </rPr>
      <t xml:space="preserve">
Link: </t>
    </r>
    <r>
      <rPr>
        <sz val="11"/>
        <rFont val="Calibri"/>
        <family val="2"/>
      </rPr>
      <t xml:space="preserve">http://www.aerocivil.gov.co/normatividad
</t>
    </r>
    <r>
      <rPr>
        <b/>
        <sz val="11"/>
        <color indexed="8"/>
        <rFont val="Calibri"/>
        <family val="2"/>
      </rPr>
      <t xml:space="preserve">
Norma de Facilitación
- RAC 200 -</t>
    </r>
    <r>
      <rPr>
        <sz val="11"/>
        <color theme="1"/>
        <rFont val="Calibri"/>
        <family val="2"/>
        <scheme val="minor"/>
      </rPr>
      <t xml:space="preserve"> Pagina web de la Aerocivil.
</t>
    </r>
    <r>
      <rPr>
        <b/>
        <sz val="11"/>
        <color indexed="8"/>
        <rFont val="Calibri"/>
        <family val="2"/>
      </rPr>
      <t xml:space="preserve">
Link: </t>
    </r>
    <r>
      <rPr>
        <sz val="11"/>
        <color theme="1"/>
        <rFont val="Calibri"/>
        <family val="2"/>
        <scheme val="minor"/>
      </rPr>
      <t>http://www.aerocivil.gov.co/normatividad</t>
    </r>
  </si>
  <si>
    <t>Se realizó visita de pre inspección del aeropuerto de Cartagena
Se adjunta cronograma de certificación 2018 en el Anexo No. 4.El avance del compromisos estratégico al 1° trimestre de 2018 es del 13% aproximadamente si se mide en término %, sin embargo el indicador es Numero de aeropuertos certificados, no se han certificado aeropuertos al 1° trimestre de 2018
No se han certificado aeropuertos</t>
  </si>
  <si>
    <r>
      <t xml:space="preserve">Se realizó la visita de pre-inspección para evaluar el cumplimiento de los siguientes Aeropuertos:
- Cartagena
- Bucaramanga 
- Cúcuta
</t>
    </r>
    <r>
      <rPr>
        <b/>
        <sz val="11"/>
        <color indexed="59"/>
        <rFont val="Calibri"/>
        <family val="2"/>
      </rPr>
      <t xml:space="preserve">
Nota: En el Aeródromo Ernesto Cortissoz de Barranquilla se esta trabajando paralelamente para lograr la Certificación en el 2018.</t>
    </r>
  </si>
  <si>
    <t xml:space="preserve"> De acuerdo con la  Dra. Claudia Liliana Olarte y Ricardo Aguirre el acuerdo de Bogotá contempla la certificación de 5 aeropuertos al año 2018, queda pendiente certificar 3 aeropuertos,  para lo cual se solicita por favor incluir en el nombre del indicador “ Lograr la certificación de 3 aeropuertos”, y modificar la cantidad en la meta a 3 aeropuertos. (Indicador de Sinergia y no se puede ajustar) 4. Respecto a los indicadores PEI adjunto presentación, quedó pendiente de  los indicadores de AVSEC ya están trabajando las áreas para el envío de datos correspondientes, dado que están pidiendo la medición de estos indicadores de la vigencia 2017 al área que manejaba esta información,  la cual actualmente no reposa en esta Secretaría.. (Correos electrónicos de fecha 17 de abril de 2018)
Tener en cuenta avance de dos indicadores que tenia la DSA y pasaron a ellos.</t>
  </si>
  <si>
    <t>Esta en proceso de firmas por parte de la Entidad el Certificado del Aeródromo Rafael Núñez de Cartagena.</t>
  </si>
  <si>
    <t>Esta actividad se replanteo para el mes de marzo del 2018 en lo que compete a la elaboración de la circular,  encontrándose en tramite para revisión y firma actividad que se cumplirá en un 100%  en el segundo trimestre.</t>
  </si>
  <si>
    <t>Esta actividad fue replanteada por la Secretaria General para el mes de abril/18, teniendo en cuenta que se realizaron algunos traslados de personal en las áreas de esta Secretaria, lo que conlleva a organizar esta actividad para el segundo trimestre de la vigencia.</t>
  </si>
  <si>
    <t>Se replantea esta actividad para el mes de mayo/18, debido a que el grupo de trabajo quedara establecido en el mes de abril. Esta actividad quedara cumplida en el segundo trimestre de esta vigencia. Sin embargo esta Secretaria ha adelantado la elaboración estructural del programa de transparencia.</t>
  </si>
  <si>
    <t xml:space="preserve">1. Se elaboró el Plan de Bienestar Social, el cual fue revisado y aprobado por la Directora de Desarrollo Humano.
De acuerdo al cronograma de actividades para el primer trimestre 2018, estas se han desarrollado: Cine familiar, día de la mujer, día del hombre., segundo torneo de parques,  preparación torneo interno futbol 8.
También se llevo a cabo la asignación presupuestal a las  regionales.
Se recibieron las solicitudes para la asignación de la ayuda especial y ayuda educativa.
Se ha participado en la organización de las  olimpiadas Ministerio de Transporte.
2. Se elaboró el proyecto de Resolución sobre incentivos, el cual se encuentra en revisión y ajustes por parte de unos de los abogados de la Dirección de Talento Humano. </t>
  </si>
  <si>
    <t>La estrategia establecida fue la realización del Congreso Nacional de Seguridad y Salud en el Trabajo, en su versión VII, 
a realizar los días 12 y 13 de abril -18.
Se realizó la logística a nivel nacional 
(convocatoria de participantes, definición de agenda, temas a tratar, conferencistas, actividades, entre otros. )</t>
  </si>
  <si>
    <t xml:space="preserve">1. Reuniones con jefe de aeronavegación nacional y centro de control Cundinamarca. 
2. Se recibió comunicación del Director de Servicios a la Navegación Aérea, donde designa interlocutores para el proceso de Plan de Contingencias.
3. Se emitió recomendaciones a la Dirección de Infraestructura en relación a los toboganes de evacuación para que se adelante el proyecto respectivo. </t>
  </si>
  <si>
    <t>El área se encuentra adelantando revisión del los documentos existentes para estructurar los documentos finales.</t>
  </si>
  <si>
    <t>Bog7 I: Información Institucional Informática - Documentos de apoyo - Estructura Empresarial</t>
  </si>
  <si>
    <t>EN ESTUDIOS PREVIOS Y CONFORMACION DE DOCUMENTOS PRECONTRACTUALES. Se vio necesario identificar con la Dir. Administrativa, si para su proceso se debe contar con un módulo específico para la gestión interna del área, que no incluya las funcionalidades del SECOP II y que aplique para ser incluido como parte de este proceso. 
Se adelanta reunión inicial con el Ministerio de Hacienda a fin de conocer a la fecha el estado actual y futuro del SIIF Nación, pendiente ejecutar reunión adicional con ellos que permitan definir con mayor exactitud el alcance del proceso y afinar las especificaciones funcionales y técnicas. En paralelo se está en elaboración de los documentos precontractuales para  radicación del proceso en Administrativa en abril/2018.</t>
  </si>
  <si>
    <t>El área solicitar incorporar nuevamente la actividad  Migrar los servicios implementados en la plataforma de Google Earth Enterprise Server y Fusión a la plataforma ArcGIS. ****</t>
  </si>
  <si>
    <t>Bog7 J:Secretaria General - Informática - Documentos de Apoyo - Varios  Vigencias Futuras 2018</t>
  </si>
  <si>
    <t>El área de informática realizará a través de un oficio a la Secretaria General y a la OAP la solicitud de cambio organizacional del área de informática con base al resultado,  estudio y entregables realizados por el proceso y/o proyecto Arquitectura Empresarial en la Gestión de TI para la entidad.</t>
  </si>
  <si>
    <t>Se hizo la revisión del entregable del ejercicio de Arquitectura Empresarial, en lo que corresponde a la estructura organizacional sugerida, se está preparando el borrador del comunicado.
16/05/2018. Sergio Paris le delegó el oficio a Carlos Morales, con comentario "a tener en cuenta". no se observa gestión del Dr. Carlos Morales.
31/05/2018 Carlos Morales, responde que la actual administración de Aerocivil, no ha considerado el trámite de un nuevo decreto de modificación de la estructura organizacional, la propuesta presentada por la Dir. de Informática, será estudiada y considerada de presentarse una nueva iniciativa de modificación a la estructura organizacional y de funciones de la entidad.</t>
  </si>
  <si>
    <t>Bog7 J:Secretaria General - Informática - Documentos de Apoyo - Varios  Vigencias Futuras 201</t>
  </si>
  <si>
    <t>El área solicitar que aquellas actividades que llevan directamente a sitios de unidades de negocio serán ajustadas conforme al resultado del levantamiento de información.</t>
  </si>
  <si>
    <t>Bog7 J:Secretaria General - Informática - Documentos de Apoyo - Contratos 2018</t>
  </si>
  <si>
    <t>En definición de alcance y requerimientos. Se realizará el cableado nuevo para Puerto Inírida, se levanta información para los aeropuertos de Girardot, Mariquita, Pasto y Cúcuta los cuales se requiere aumentar nivel de categoría de cableado</t>
  </si>
  <si>
    <t xml:space="preserve">EN ELABORACION ESTUDIOS PREVIOS. El levantamiento de necesidades genera cambios del alcance ya que varios aeropuertos de los programados están en remodelación o traslado de áreas que incluyeron cableados. Se define entonces para este proceso los Aeropuertos de Mariquita, Girardot y Puerto Inírida, se  solicitaron comisiones para realizar el levantamiento detallado información desde el día 16/06/2018. Se aprobaron comisiones en las siguientes fechas:
Aeropuerto Mariquita: 27/06/2018 al 29/06/2018
Aeropuerto Girardot: 09/07/2018 al 11/07/2018
Aeropuerto Puerto Inírida: 16/07/2018 al 18/08/2018
Una vez terminado el levantamiento de información se radicara el proceso el día 27 de julio de 2018. </t>
  </si>
  <si>
    <r>
      <t xml:space="preserve">24/05/2018. Proceso radicado oficio 2018014881 día 22 de mayo de 2018, en la Dir. Administrativa.
30/06/2018 se llevó a comité de contratación , se solicitó que la Secretaría de Sistemas Operacionales justificara con más detalle su solicitud de licenciamiento de SIGMA y al no obtener esta información para el comité que se realizó el </t>
    </r>
    <r>
      <rPr>
        <sz val="11"/>
        <rFont val="Calibri"/>
        <family val="2"/>
      </rPr>
      <t>21 de junio</t>
    </r>
    <r>
      <rPr>
        <sz val="11"/>
        <color theme="1"/>
        <rFont val="Calibri"/>
        <family val="2"/>
        <scheme val="minor"/>
      </rPr>
      <t>, el comité determinó excluir este licenciamiento del proceso. se entregó documentación ajustada en la Dir. Administrativa, el día 22 de junio 3400-2018018938</t>
    </r>
  </si>
  <si>
    <t>Bog7 J:Secretaria General - Informática - Documentos de Apoyo - Contratos 2017 - 17001380 H3</t>
  </si>
  <si>
    <t>Va para proceso próxima VF</t>
  </si>
  <si>
    <t>1. Diseño Calendario Misión-Si
2. Envío correo Calendario Misión-Si a Todos los Usuarios
3. Evaluaciones de conocimientos en Seguridad de la Información a 24 usuarios.
4. SGSI - Transferencia de conocimientos en  la Norma ISO 27001
5. SGSI - Transferencia de conocimientos Seguridad en Redes</t>
  </si>
  <si>
    <t>Bog7 J Secretaria General - Seguridad  - 532 Sensibilización SI</t>
  </si>
  <si>
    <t xml:space="preserve">Campañas de Misión- SI - 6 correos
Capacitación en Seguridad en VMWARE - 4 asistentes de la Dir. De Informática
Reunión de sensibilización en almacenamiento y protección de la información para la Dir. Administrativa y sus grupos (20 asistentes)
Inducción en seguridad en desarrollo e implementación de aplicaciones web 11 servidores públicos de la Dir. de Informática
Inducción en seguridad sistema operativo Windows 6 asistentes
Inducción en seguridad en desarrollo e implementación de aplicaciones móviles (4 asistentes)
Inducción en seguridad de base de datos Oracle y SQL Server (9  asistentes)
Inducción en seguridad en la nube (9 asistentes)
Inducción en seguridad sistema operativo HP-UX (6 asistentes)
Sensibilización en almacenamiento y protección de la informativa mas normatividad y legislación en seguridad de la información (40 asistentes), para Dir. de Talento y sus grupos 
Transferencia de conocimientos en gestión de activos de información  -6 sesiones- promedio de 13 asistentes entre servidores públicos de Organización y Calidad de la OPA y Dir. de Informática
</t>
  </si>
  <si>
    <t>10 contratos en ejecución: Soporte a los sistemas de información ALFAGL, SITAH, ADI, Control, Calidad, SIAII, Compendios Jurídicos, SPSS, Procesos Judiciales y control de acceso.
5 Procesos radicados en la Dirección Administrativa en trámite precontractual: Soporte a Microstation, Data protector, BSM, videoconferencia y antivirus.
Procesos en estudio de mercado y preparación de documentación: Soporte a VMWare, soporte a SIA/AIM.
Soporte al sistema SIGA, en estudios previos para trámite de VF</t>
  </si>
  <si>
    <t>Radicados en administrativa los procesos de contratación de: VMWARE  Soporte SIGMA, soporte y mantenimiento JDE, Soporte Oracle weblogic</t>
  </si>
  <si>
    <t>Bog7 It: Términos de Referencia 2018 - Secretaria General - Dir. Informática - Procesos 2018</t>
  </si>
  <si>
    <t>Se elaboró el documento de viabilidad  del proyecto. Evidencia en bog7 carpeta del Grupo Proyectos de TI. Evidencia en bog7 carpeta del Grupo Proyectos de TI
28/06/2018 se radica proceso en la Dir. Administrativa. ADI No. 3400-2018019551</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</si>
  <si>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mayo/2018.
16/05/2018: Se solicitaron los estudios financieros a la Dir. Financiera, se ajustaron algunos documentos y formatos pre-contractuales, se está a la espera de la aprobación de la actualización al PAA, para radicar la próxima semana el proceso en la Dir. Administrativa.
22/06/2018. Se presentó en comité de contratación. No se autorizó la publicación del proceso. se está a la espera de la definición.</t>
  </si>
  <si>
    <r>
      <t xml:space="preserve">Implementar la estructura organizacional de TI sugerida por el proyecto de diseño y definición de Arquitectura Empresarial para la Entidad.
</t>
    </r>
    <r>
      <rPr>
        <sz val="11"/>
        <rFont val="Calibri"/>
        <family val="2"/>
      </rPr>
      <t>De acuerdo con la solicitud realizada por la Dir. Informática esta actividad se ajusta por : " Solicitar la conformación de la estructura organizacional TI sugerida por el proyecto de diseño y definición de Arquitectura Empresarial para la Entidad".
Seguimiento se realiza a partir de Junio 2018.</t>
    </r>
  </si>
  <si>
    <t>Matriculas depuradas de aeronaves en condición de inactividad mayor a tres (3) años</t>
  </si>
  <si>
    <r>
      <rPr>
        <b/>
        <sz val="11"/>
        <color indexed="8"/>
        <rFont val="Calibri"/>
        <family val="2"/>
      </rPr>
      <t>60%</t>
    </r>
    <r>
      <rPr>
        <sz val="11"/>
        <color theme="1"/>
        <rFont val="Calibri"/>
        <family val="2"/>
        <scheme val="minor"/>
      </rPr>
      <t>, se realizó la respectiva revisión y analisis de la politica y objetivos existentes y se realizo un nuevo documento con la politica y objetivos a implementar.</t>
    </r>
  </si>
  <si>
    <r>
      <rPr>
        <b/>
        <sz val="11"/>
        <color indexed="8"/>
        <rFont val="Calibri"/>
        <family val="2"/>
      </rPr>
      <t>100%</t>
    </r>
    <r>
      <rPr>
        <sz val="11"/>
        <color theme="1"/>
        <rFont val="Calibri"/>
        <family val="2"/>
        <scheme val="minor"/>
      </rPr>
      <t xml:space="preserve">, se relizó la revisión del plan de implementación existente, el cual no fue cumplido, a partir de esto se realizó una reunion con el Grupo de Gestión de Seguridad Operacional (Autoridad), donde se concluyo que a aprtir de este hallazgo, se debian realizar la descripción del sistema para erodromos y ATS y el analisis de faltantes. De lo anteirior se generó un nuevo documento  </t>
    </r>
    <r>
      <rPr>
        <b/>
        <sz val="11"/>
        <color indexed="8"/>
        <rFont val="Calibri"/>
        <family val="2"/>
      </rPr>
      <t>(Archivo del Grupo SMS)</t>
    </r>
  </si>
  <si>
    <r>
      <rPr>
        <b/>
        <sz val="11"/>
        <color indexed="8"/>
        <rFont val="Calibri"/>
        <family val="2"/>
      </rPr>
      <t xml:space="preserve">40%; </t>
    </r>
    <r>
      <rPr>
        <sz val="11"/>
        <color theme="1"/>
        <rFont val="Calibri"/>
        <family val="2"/>
        <scheme val="minor"/>
      </rPr>
      <t>Se ha venido trabajando en el Manual, el cual ya cuenta con gran parte desarrollada, actualmente se estan realizando los documentos de los procesos y programas que son parte fundamental del mismo.</t>
    </r>
  </si>
  <si>
    <r>
      <rPr>
        <b/>
        <sz val="11"/>
        <color indexed="8"/>
        <rFont val="Calibri"/>
        <family val="2"/>
      </rPr>
      <t xml:space="preserve">100%, </t>
    </r>
    <r>
      <rPr>
        <sz val="11"/>
        <color theme="1"/>
        <rFont val="Calibri"/>
        <family val="2"/>
        <scheme val="minor"/>
      </rPr>
      <t>se realizo mediante el documento "GESTION REPORTES Y EV RIESGOS SMS-QA rev"</t>
    </r>
  </si>
  <si>
    <r>
      <rPr>
        <b/>
        <sz val="11"/>
        <color indexed="8"/>
        <rFont val="Calibri"/>
        <family val="2"/>
      </rPr>
      <t xml:space="preserve">60%, </t>
    </r>
    <r>
      <rPr>
        <sz val="11"/>
        <color theme="1"/>
        <rFont val="Calibri"/>
        <family val="2"/>
        <scheme val="minor"/>
      </rPr>
      <t>Dicho documento se encuentra en desarrollo dentro del Manual de Seguridad Operacional. (Depende del Desarrollo del Manual)</t>
    </r>
  </si>
  <si>
    <r>
      <rPr>
        <b/>
        <sz val="11"/>
        <color indexed="8"/>
        <rFont val="Calibri"/>
        <family val="2"/>
      </rPr>
      <t xml:space="preserve">40%, </t>
    </r>
    <r>
      <rPr>
        <sz val="11"/>
        <color theme="1"/>
        <rFont val="Calibri"/>
        <family val="2"/>
        <scheme val="minor"/>
      </rPr>
      <t>Dicho documento se encuentra en desarrollo dentro del Manual de Seguridad Operacional.</t>
    </r>
  </si>
  <si>
    <r>
      <rPr>
        <b/>
        <sz val="11"/>
        <color indexed="8"/>
        <rFont val="Calibri"/>
        <family val="2"/>
      </rPr>
      <t>10%</t>
    </r>
    <r>
      <rPr>
        <sz val="11"/>
        <color theme="1"/>
        <rFont val="Calibri"/>
        <family val="2"/>
        <scheme val="minor"/>
      </rPr>
      <t xml:space="preserve"> Dependen de la anterior actividad y del trabajo continuo con los actores involucrados en el tema - tema de todo el año)</t>
    </r>
  </si>
  <si>
    <r>
      <t xml:space="preserve">20%. </t>
    </r>
    <r>
      <rPr>
        <sz val="11"/>
        <color theme="1"/>
        <rFont val="Calibri"/>
        <family val="2"/>
        <scheme val="minor"/>
      </rPr>
      <t>No se ha podidio cumplir con la socialización debido a que aun se encuentra en desarrollo y pendiente por firma los documentos del Grupo.</t>
    </r>
  </si>
  <si>
    <r>
      <rPr>
        <b/>
        <sz val="11"/>
        <color indexed="8"/>
        <rFont val="Calibri"/>
        <family val="2"/>
      </rPr>
      <t xml:space="preserve">50%, </t>
    </r>
    <r>
      <rPr>
        <sz val="11"/>
        <color theme="1"/>
        <rFont val="Calibri"/>
        <family val="2"/>
        <scheme val="minor"/>
      </rPr>
      <t>Se realizarón documentos genericos para la inscripción de Grupo GESO de cada aeropuerto, Documentos genericos para reporte de novedades, pero aun falta completar el Manual de Seguridad Operacional, el cual es un documento generico fundamental para el desarrollo del SMS en cada Aeropuerto.</t>
    </r>
  </si>
  <si>
    <r>
      <rPr>
        <b/>
        <sz val="11"/>
        <color indexed="8"/>
        <rFont val="Calibri"/>
        <family val="2"/>
      </rPr>
      <t xml:space="preserve">60%, </t>
    </r>
    <r>
      <rPr>
        <sz val="11"/>
        <color theme="1"/>
        <rFont val="Calibri"/>
        <family val="2"/>
        <scheme val="minor"/>
      </rPr>
      <t>se realizo la visita a los aeropuertos, se hablo con la concesión Aeropuertos de Oriente, se reviso y modifico la respectiva carta de acuerdo y los documentos se han enfocado en los casos de estos dos aeropuertos en particulara.</t>
    </r>
  </si>
  <si>
    <r>
      <t xml:space="preserve">100%, </t>
    </r>
    <r>
      <rPr>
        <sz val="11"/>
        <color theme="1"/>
        <rFont val="Calibri"/>
        <family val="2"/>
        <scheme val="minor"/>
      </rPr>
      <t>se han realizado estudios de seguridad operacional al aeropuerto de Cartagena en el doc "ESTUIO DE SEG. OP. EDIFICIO CARTAGENA", Cúcuta "ESTUIO DE SEG. OP. PUESTOS DE ESTACIONAMIENTO" y "PROCEDIMIENTO PLATAFORMA CÚCUTA" y para San Jose del Guaviare "ESTUIO DE SEG. OP. PLATAFORMA Y OPERACIONES SAN JOSE DEL GUAVIARE".</t>
    </r>
  </si>
  <si>
    <t>METAS: 5</t>
  </si>
  <si>
    <t>Se realizó la respectiva revisión y analisis de la politica y objetivos existentes y se realizo un nuevo documento con la politica y objetivos a implementar. Firmados.</t>
  </si>
  <si>
    <t>Se relizó la revisión inicial del plan de implementación existente (2016), el cual no fue cumplido.  Por directriz superior se realiza una nueva actualización del plan de implementación la cual tiene un avance a la fecha del 80% . Para lo cual se han  realizado reuniones con el Grupo de Gestión de Seguridad Operacional ( SSOAC Autoridad), donde se concluyo que, se debian realizar la descripción del sistema para aerodromos y ATS y el analisis de faltantes. Elaborados los formatos, pendientes de envío para el diligenciamiento de los respectivos aeropuertos".  Estan pendientes los últimos ajusteas para la firma  por parte del SSO y posterior socialización y envío a los aeropuertos</t>
  </si>
  <si>
    <t xml:space="preserve"> A junio  el grueso del manual se encuentra elaborado, esta pendiente de elaboración de procedimientos para subirlo al sistema de gestión de calidad.</t>
  </si>
  <si>
    <t>sus evidencias se encuentran directamente en el Despacho del Grupo de SMS
K:\4007-Gestion Seg Opera Asegur Calidad\2018
K:\4007-Gestion Seg Opera Asegur Calidad\2018\Seguridad Operacional SSO
K:\4007-Gestion Seg Opera Asegur Calidad\2018\Seguridad Operacional SSO\PLAN DE IMPLEMENTACIÓN\Actas y reuniones</t>
  </si>
  <si>
    <t>Se realizo mediante el documento "GESTION REPORTES Y EV RIESGOS SMS-QA rev" </t>
  </si>
  <si>
    <t>Este procedimiento esta elaborado,  se encuentra en desarrollo dentro del Manual de Seguridad Operacional. Pendiente subir a ISOLUCION</t>
  </si>
  <si>
    <t>Se realizó el esquema de difusión  dando cumplimiento a esta actividad</t>
  </si>
  <si>
    <t xml:space="preserve">Se participó con directores regionales y administradores de aeropuerto de una charla informativa sobre a politica, objetivos e implementacioón del Sitema de Seguridad Operacional. De manera continúa se atienden inquietudes relacionadas con el SMS por diferentes canales correos etc. </t>
  </si>
  <si>
    <t>Se realizo la reunión con los directivos, donde se expusierón las responsabilidades de cada uno de ellos respecto a la implementación y mantenimiento de el Sistema de Seguridad Operacional. Se realizó aprovechando las reuniones de gerencia de la SSO lo cual se refleja en las actas levantadas por la SSO</t>
  </si>
  <si>
    <t xml:space="preserve">Se realiza socialización permanente a los actores de servicos aeroportuarios lo cual se puede evidenciar mediante correos electrónicos </t>
  </si>
  <si>
    <t>Se han elaborado documentos  como preliminar informativo,  formato de reportes de novedades, documento de diligenciamiento de descrpción del sistema y se han efectuado reuniones de trabajo con los adminsitradores y sus equipos de trabajo. Se tiene previsto tener  el documento genérico para finales de julio. La demora se refleja por que se depende de la dinámica de otras áreas</t>
  </si>
  <si>
    <t xml:space="preserve">En los aeropuertos comprometidos se han elaborado documentos  como preliminar informativo,  formato de reportes de novedades, documento de diligenciamiento de descrpción del sistema y se han efectuado reuniones de trabajo con los adminsitradores y sus equipos de trabajo. Se tiene previsto tener  el documento genérico para finales de julio. </t>
  </si>
  <si>
    <t>Se han realizado reuniones con el Grupo de Calidad, se han  analizado los temas pertinentes iniciando por un estudio de las actividades del grupo para dar claridad y no confundir con las actividades del grupo SMS de la SSOAC (autoridad)</t>
  </si>
  <si>
    <t>Se han realizado visitas  a los aeropuertos objeto de certificación Bucaramanga y Cúcuta, se tienen actas  de cumplimiento y el informe respectivo</t>
  </si>
  <si>
    <t>se realizaron los oficios 2018013882, 2018013884, 2018013885, 2018013886, 2018013887 y 2018013888, donde se remiten los reportes a las areas correspondientes, para determinar el estado de lo que en ellos se describe y se realizan Estudios de seguridad operacional unicamente de aeródromo  a Manizales, Cartagena y Olaya Herrera</t>
  </si>
  <si>
    <t>OBSERVACIÓN</t>
  </si>
  <si>
    <t>CUMP ÁREA :  91%</t>
  </si>
  <si>
    <t>actividad cumplida en el primer trimestre</t>
  </si>
  <si>
    <t>El plan de Bienestar ya se elaboró, se publicó en la intranet y se está ejecutando. En cuanto al Plan de incentivos se proyectó borrador el proyecto de resolución se ajustó y se  encuentran en la Secretaría General para revisión y aprobación.</t>
  </si>
  <si>
    <t xml:space="preserve">En lo referente al Plan de Bienestar la actividad está cumplida, en cuanto al Plan de Incentivos esta pendiente de revisión y aprobación </t>
  </si>
  <si>
    <t>Actividad cumplida a través del Congreso de Seguridad y Salud en el Trabajo</t>
  </si>
  <si>
    <t xml:space="preserve">En el cronograma se refleja seguimiento semestralmente </t>
  </si>
  <si>
    <t>En la intranet se publicaron los contenidos desarrollador durante el evento.
http://intranet.aerocivil.gov.co/talento-humano/salud-en-el-trabajo/Paginas/Congreso-salud-y-trabajo-2018.aspx</t>
  </si>
  <si>
    <t>Los días 12 y 13 de abril de 2018 se llevo a cabo el VII Congreso de Seguridad y Salud en el Trabajo, evento al que asistieron servidores públicos del Nivel Central y de las Direcciones Regionales.</t>
  </si>
  <si>
    <t>Se está revisando  la Guía de Elaboración del PIC con el fin de complementar el documento técnico. Se acordó con el CEA que esta  actividad comenzaría en el mes de julio</t>
  </si>
  <si>
    <t>publicado en la intranet</t>
  </si>
  <si>
    <t>Se ha modificado y complementado la información de caracterización de la planta de personal como insumo para el Plan Estratégico de Talento Humano de la Entidad.</t>
  </si>
  <si>
    <t xml:space="preserve"> Se realizó ajuste Manual de las áreas operativas de la Secretaria de Seguridad Operacional y la Aviación Civil, y Secretaria de Sistemas Operacionales. Se realizó cronograma y plan de 
trabajo para cada una de las Secretarias, actualmente se encuentra en proceso de ejecución. Se ha ejecutado hasta la fecha el plan de trabajo con la priorización de los Grupos AGA y AIG, además del Grupo Inspección de operaciones y Licencias en la Secretaria de Seguridad Operacional y de la Aviación Civil, respecto a la Secretaria de Sistemas Operacionales se ha avanzado en el manual de funciones correspondiente a controladores, Ais/Com/Met, Bomberos y Grupo Soporte.
Por sugerencia de la Secretaría de Seguridad Operacional y de la Aviación Civil, se da prioridad a la actualización de los Manuales del Grupo Inspección de Operaciones, los perfiles de los pilotos.  La Dirección de Talento Humano en conjunto con el Grupo de Inspección de Operaciones de la Dirección de Estándares de Vuelo, terminó el ajuste al Manual Especifico de Funciones y Competencias Laborales, para los empleos denominados Inspector de Seguridad Aérea pertenecientes al Grupo de Inspección de Operaciones de la Dirección de Estándares de Vuelo (Pilotos). Se expide la resolución 01920 de julio 5 de 2018.
Continua en ejecución el plan de trabajo para las Secretarias de Seguridad Operacional y de la Aviación Civil, y de Sistemas Operacionales. Avance en el plan  60%</t>
  </si>
  <si>
    <t>El avance se realiza a través de dos tareas Ajuste Manual de las áreas operativas de la Secretaria de Seguridad Operacional y la Aviación Civil, y Secretaria de Sistemas Operacionales y Realizar Estudio de Verificación de Requisitos, para la provisión transitoria mediante la figura excepcional del encargo o nombramiento provisional. 
Con el propósito de poder realizar una medición adecuada, se recomienda que el cronograma sea ajustado</t>
  </si>
  <si>
    <t xml:space="preserve">Se realizó la revisión del documento de Rediseño Fase II y III, 
para ajustarlo dentro del Plan de Desarrollo 2014 "Prosperidad para Todos" y el contexto de direccionamiento estratégico de la Aerocivil.  Se inició el ajusté de acuerdo con la nueva metodología del 
Departamento Administrativo de la Función Pública. También, se actualizó el sistema salarial a las escalas del año 2018. Se elaboró el proyecto de decreto de planta de personal, según los datos obtenidos del Estudio Técnico.
Se elaboró el Proyecto de Decreto de la Modificación a la Estructura Actual de la Aeronáutica Civil. 
Se elaboró un proyecto de Decreto de modificación al Sistema de Nomenclatura y Clasificación de empleos. 
Así mismo se actualizo el Estudio técnico en estos apartes (Estructura, planta y nomenclatura). 5%
Así mismo se actualizo el Estudio técnico en estos apartes (Estructura, planta y nomenclatura). 
Se requiere a la Administradora 
Colombiana de Pensiones -COLPENSIONES- para que precise cuales son los servidores que tienen reconocido un derecho pensional y que su ingreso a nomina se encuentra en suspenso hasta la acreditación del retiro oficial del servicio. Se eleva petición a la Unidad de Gestión de Pensiones y Parafiscales -UGPP- para que precise cuales son los servidores que tienen reconocido un derecho pensional y que su ingreso a nomina se encuentra en suspenso hasta la acreditación del retiro oficial del servicio, de la misma forma en que se realizó con COLPENSIONES.
Se recibió respuesta por parte de Colpensiones el 16 de mayo de 2018. Sin embargo, el pronunciamiento no fue satisfactorio, debido a que no responde de fondo la solicitud. </t>
  </si>
  <si>
    <t xml:space="preserve">El avance se realiza a través de dos tareas Gestionar ante el DAFP y Ministerio de Hacienda Hacienda y Crédito Público la Fase II y III del proceso del rediseño Institucional. Del año 2013 y Realizar análisis pensional de los servidores que cuentan con garantías reforzadas. Con el propósito de poder realizar una medición adecuada, se recomienda que el cronograma sea ajustado </t>
  </si>
  <si>
    <t>Actividad finalizada, se adelanto el proceso de reinducción a nivel nacional</t>
  </si>
  <si>
    <t>En coordinación con la Dra. Helga Franco de Colpensiones se han realizado capacitaciones que permitan a los servidores tener claridad frente a las posibles inconsistencias en pensión y de esta manera ir disminuyendo la presunta deuda.
Se ha incorporado en el aplicativo de Colpensiones novedades de retiro, impactando económicamente en la disminución de la Deuda.
Se realizó la actualización del representante legal y con ello, la actualización de la plataforma para la depuración de las novedades.
El 17 may/2018 se habilitó en la plataforma el certificado digital a nombre de la actual directora y se han aplicado los siguientes movimientos:
Mayo: 1 novedad $42,361,380  (2.46%)
Jun: 22 novedades $382,578,847  (22,25%)
Para éste bimestre se han registrado 31 novedades de las cuales 8 han sido rechazadas y están en validación por corresponder a exfuncionarios del régimen especial.
Deuda inicial año 2018 $1,719,187,808
Saldo a cierre mes Junio $1,276,868,018</t>
  </si>
  <si>
    <t>En el trimestre no hubo actividades para atender por parte de la Entidad</t>
  </si>
  <si>
    <t>La estadística se genera a través de la herramienta SIGMA, de manera dinámica y en tiempo real, utilizandolá para la toma de decisiones. Adicionamlmente, se exporta a un  un archivo en excel para facilidad de consulta para quienes no tengan acceso a la herramienta. A junio 30  el número de ordenes generadas fue de 12,049   sobre el número de ordenes cerradas 11,580 para un 96 % . Para el trimestre  abiertas 4,947 y cerradas 4,455 para un porcentaje del 91%</t>
  </si>
  <si>
    <t>La verificación sobre el numero de circulares publicadas (73) se cumplio al 100%  en su totalidad alcanzando antes del tiempo previsto. Como resultado de dicha verificación el Grupo de Coordinación de servicios implemento un plan de trabajo para  mejorar la totalidad de la documentación normativa y técnica la cual se pretende consolidar en dos resoluciones</t>
  </si>
  <si>
    <t>Cumplieron con la actividad anticipadamente</t>
  </si>
  <si>
    <t>CUMP ÁREA  :  96%</t>
  </si>
  <si>
    <t>Se está a la espera de pronunciamiento por parte del ultimo propietario o explotador, para dar continuidad al proceso. el tiempo de espera de respuesta es un mes, para definir si procede a la cancelación.  adicionalmente se notifica a juzgados y a coactiva y cobranzas de la entidad</t>
  </si>
  <si>
    <t>META CUMPLIDA: 1</t>
  </si>
  <si>
    <t>25% 
(52,9% Compromisos)</t>
  </si>
  <si>
    <t>25%
(30,0% Obligaciones)</t>
  </si>
  <si>
    <t>META:  7</t>
  </si>
  <si>
    <t>bog7 (h):\1030-oran\2018\1030420.2 plan de acción</t>
  </si>
  <si>
    <t xml:space="preserve"> Se realiza previo estudio del expediente de cada aeronave  y posteriormente se   notifica a propietarios y o explotador. se encuentran en proceso. </t>
  </si>
  <si>
    <t xml:space="preserve"> se registran soportes en bog 7   </t>
  </si>
  <si>
    <t>MECI: En el trimestre se cerraron 232 hallazgos del PM OCI, acumulando se han cerrado 289 de la meta que es el 70% de 876 hallazgos.</t>
  </si>
  <si>
    <t xml:space="preserve">Se puede evidenciar en el modulo de mejoramiento hallazgos cerrados en el siguiente link http://isolucion.aerocivil.gov.co:81/isolucion/FrameSetGeneral.asp?Pagina=FiltroNoConformidades.asp&amp;CodTipoNoConf=4&amp;EsAbierta=1&amp;ConMenu=NO. </t>
  </si>
  <si>
    <t xml:space="preserve">Al segundo trimestre se han cerrado 62 hallazgos, 41 corresponden al segundo timestre de 134 hallazgo tomados como meta.
</t>
  </si>
  <si>
    <t>H:\1020- ControlInterno\DocApoyo\CONTRALORIA GENERAL\Plan de Mejoramiento</t>
  </si>
  <si>
    <t xml:space="preserve">META          </t>
  </si>
  <si>
    <t xml:space="preserve">CUMP TRANSVERSAL </t>
  </si>
  <si>
    <t xml:space="preserve">OCI  : </t>
  </si>
  <si>
    <t xml:space="preserve">Informe de las campañas internas y externas realizadas por cada uno de los colaboradores. </t>
  </si>
  <si>
    <t xml:space="preserve">Es necesario el fortalecimiento en el tema de recursos tecnológicos y económicos para lograr cumplir sin dificultad las actividades y estrategias propuestas. </t>
  </si>
  <si>
    <t xml:space="preserve">Comunicados de prensa, campañas, piezas gráficas en redes sociales, página web, intranet, transmisiones en directo por redes. </t>
  </si>
  <si>
    <t>Se requieren de recursos tecnológicos para tener más herramientas y facilidades en la divulgación de la información</t>
  </si>
  <si>
    <t>Correo de fecha 12.07.2018 - Maria Cristina Pabon - "Igualmente, aprovechando esta comunicación, agradezco actualizar el cuadro, quitando las dos actividades adjuntas que implícitamente ya están siendo evaluadas en los otros ítems. "</t>
  </si>
  <si>
    <t>CUMP ÁREA : 100%</t>
  </si>
  <si>
    <t>UNIDAD ADMINISTRATIVA ESPECIAL DE AERONAÚTICA CIVIL
PLAN ACCIÓN 2018 -  COMPROMISOS Y/O ACCIONES 
DIRECCIÓN GENERAL - Grupo Prensa</t>
  </si>
  <si>
    <t>UNIDAD ADMINISTRATIVA ESPECIAL DE AERONAÚTICA CIVIL
PLAN ACCIÓN 2018 -  COMPROMISOS Y/O ACCIONES 
SUBDIRECCIÓN GENERAL</t>
  </si>
  <si>
    <t>UNIDAD ADMINISTRATIVA ESPECIAL DE AERONAÚTICA CIVIL
PLAN ACCIÓN 2018 -  COMPROMISOS Y/O ACCIONES 
OFICINA ASESORA DE PLANEACIÓN</t>
  </si>
  <si>
    <t>UNIDAD ADMINISTRATIVA ESPECIAL DE AERONAÚTICA CIVIL
PLAN ACCIÓN 2018 -  COMPROMISOS Y/O ACCIONES 
OFICINA TRANSPORTE AÉREO</t>
  </si>
  <si>
    <t>UNIDAD ADMINISTRATIVA ESPECIAL DE AERONÁUTICA CIVIL
PLAN ACCIÓN 2018 -  COMPROMISOS Y/O ACCIONES 
OFICINA CENTRO ESTUDIOS AERONAÚTICOS</t>
  </si>
  <si>
    <t>UNIDAD ADMINISTRATIVA ESPECIAL DE AERONAÚTICA CIVIL
PLAN ACCIÓN 2018 -  COMPROMISOS Y/O ACCIONES 
OFICINA CONTROL INTERNO</t>
  </si>
  <si>
    <t>UNIDAD ADMINISTRATIVA ESPECIAL DE AERONAÚTICA CIVIL
PLAN ACCIÓN 2018 -  COMPROMISOS Y/O ACCIONES 
OFICINA ASESORA JURÍDICA</t>
  </si>
  <si>
    <t>UNIDAD ADMINISTRATIVA ESPECIAL DE AERONAÚTICA CIVIL
PLAN ACCIÓN 2018 -  COMPROMISOS Y/O ACCIONES 
OFICINA COMERCIALIZACIÓN</t>
  </si>
  <si>
    <t xml:space="preserve">UNIDAD ADMINISTRATIVA ESPECIAL DE AERONAÚTICA CIVIL 
PLAN ACCIÓN 2018 - COMPROMISOS Y/O ACCIONES
SECRETARIA SISTEMAS OPERACIONALES </t>
  </si>
  <si>
    <t>UNIDAD ADMINISTRATIVA ESPECIAL DE AERONAÚTICA CIVIL
PLAN ACCIÓN 2018 -  COMPROMISOS Y/O ACCIONES 
DIRECCIÓN DE TELECOMUNICACIONES</t>
  </si>
  <si>
    <t>UNIDAD ADMINISTRATIVA ESPECIAL DE AERONAÚTICA CIVIL
PLAN ACCIÓN 2018 -  COMPROMISOS Y/O ACCIONES 
DIRECCIÓN INFRAESTRUCTURA AEROPORTUARIA</t>
  </si>
  <si>
    <t>UNIDAD ADMINISTRATIVA ESPECIAL DE AERONAÚTICA CIVIL
PLAN ACCIÓN 2018 -  COMPROMISOS Y/O ACCIONES 
DIRECCIÓN SERVICIOS A LA NAVEGACIÓN AÉREA</t>
  </si>
  <si>
    <t>UNIDAD ADMINISTRATIVA ESPECIAL DE AERONAÚTICA CIVIL
PLAN ACCIÓN 2018 -  COMPROMISOS Y/O ACCIONES 
DIRECCIÓN SERVICIOS AEROPORTUARIOS</t>
  </si>
  <si>
    <t>UNIDAD ADMINISTRATIVA ESPECIAL DE AERONAÚTICA CIVIL
PLAN ACCIÓN 2018 -  COMPROMISOS Y/O ACCIONES 
GRUPO DE GESTIÓN DE PROYECTOS AERONÁUTICOS - SSO</t>
  </si>
  <si>
    <t>UNIDAD ADMINISTRATIVA ESPECIAL DE AERONAÚTICA CIVIL
PLAN ACCIÓN 2018 -  COMPROMISOS Y/O ACCIONES 
GRUPO DE PLANIFICACIÓN AEROPORTUARIA</t>
  </si>
  <si>
    <t>UNIDAD ADMINISTRATIVA ESPECIAL DE AERONAÚTICA CIVIL
PLAN ACCIÓN 2018 -  COMPROMISOS Y/O ACCIONES 
GRUPO DE COORDINACIÓN Y SEGUIMIENTO DE SERVICIOS OPERACIONALES - SSO</t>
  </si>
  <si>
    <t>UNIDAD ADMINISTRATIVA ESPECIAL DE AERONAÚTICA CIVIL
PLAN ACCIÓN 2018 -  COMPROMISOS Y/O ACCIONES 
SECRETARIA SEGURIDAD OPERACIONAL Y DE LA AVIACIÓN CIVIL</t>
  </si>
  <si>
    <t>UNIDAD ADMINISTRATIVA ESPECIAL DE AERONAÚTICA CIVIL
PLAN ACCIÓN 2018 -  COMPROMISOS Y/O ACCIONES 
SECRETARIA GENERAL- DESPACHO</t>
  </si>
  <si>
    <t>UNIDAD ADMINISTRATIVA ESPECIAL DE AERONÁUTICA CIVIL
PLAN ACCIÓN 2018 -  COMPROMISOS Y/O ACCIONES 
SECRETARÍA GENERAL - DIRECCIÓN  FINANCIERA</t>
  </si>
  <si>
    <t xml:space="preserve">UNIDAD ADMINISTRATIVA ESPECIAL DE AERONAÚTICA CIVIL
PLAN ACCIÓN 2018 -  COMPROMISOS Y/O ACCIONES 
SECRETARÍA GENERAL - DIRECCIÓN ADMINISTRATIVA </t>
  </si>
  <si>
    <t>UNIDAD ADMINISTRATIVA ESPECIAL DE AERONAÚTICA CIVIL
PLAN ACCIÓN 2018 -  COMPROMISOS Y/O ACCIONES 
SECRETARIA GENERAL - DIRECCIÓN TALENTO HUMANO</t>
  </si>
  <si>
    <t>UNIDAD ADMINISTRATIVA ESPECIAL DE AERONAÚTICA CIVIL
PLAN ACCIÓN 2018 -  COMPROMISOS Y/O ACCIONES 
SECRETARIA GENERAL - DIRECCIÓN INFORMÁTICA</t>
  </si>
  <si>
    <t>UNIDAD ADMINISTRATIVA ESPECIAL DE AERONAÚTICA CIVIL
PLAN ACCIÓN 2018 -  COMPROMISOS Y/O ACCIONES 
OFICINA DE REGISTRO GRUPO DE MATRICULAS</t>
  </si>
  <si>
    <t>Se presenta dificultades en el seguimiento. Se propone se pronuncien por escrito justificado de las partes ante la OAP para llevar a Comité Directivo.</t>
  </si>
  <si>
    <t>Reformulado y autorizado</t>
  </si>
  <si>
    <t>Tomada información del documento enviado que era un AG (reconocimiento IES).
El área debe acercarse a la OAP y definir cronograma para los siguientes seguimientos .</t>
  </si>
  <si>
    <t>Grupo Planificación Aeroportuaria</t>
  </si>
  <si>
    <t xml:space="preserve">Informe semanal de actividades que son evidenciadas en los comités directivos. </t>
  </si>
  <si>
    <t xml:space="preserve">Se han presentado situaciones en las que las áreas no facilitan la entrega de información lo cual no ayuda a la toma de decisiones y acciones preventivas. </t>
  </si>
  <si>
    <t>El área de Prensa solicita eliminar estas dos actividades por los siguientes motivos : Esta d está inmersa en todas las que nos aplican al proceso</t>
  </si>
  <si>
    <t>"Esta sería la actividad que tendría relación con nuestro proceso. 
La información de interés y de impacto, ha sido divulgada por los diferentes tres canales con los que cuenta la Entidad (Página web, intranet, redes sociales- Twitter, Facebook, YouTube, instragran- noticiero interno, aerotips, notas especializadas, piezas gráficas)"</t>
  </si>
  <si>
    <t xml:space="preserve">Actas del grupo de calidad en los comités directivos y actas de comités de comunicación. </t>
  </si>
  <si>
    <t>METAS CUMPLIDAS II TRIMESTRE</t>
  </si>
  <si>
    <t>META CUMPLIDA:  0</t>
  </si>
  <si>
    <t xml:space="preserve">Conforme lo establece el analisis del decreto 1008 de junio 14 de 2017, se presentará  una propuesta de circular el 16 de julio de 2018, elaborada por la Secretaría General, la Oficina Asesora de Planeación, el grupo de atención al Ciudadano y el Grupo de Prensa  </t>
  </si>
  <si>
    <t xml:space="preserve">Plan de Evacuacion entre Infraestructura y DSNA y TH (Salud Ocup)
Infraestructura : Debe Presentar un plan de  mejoramiento de la infraestructura de acuerdo con el plan  evacuación. Harley y Medardo -  (Twr)
DSNA Plan  de evaluación (Plan crongrama)
Salud : </t>
  </si>
  <si>
    <r>
      <t xml:space="preserve">Se llevó a cabo reunión del Comité de Emergencias del CGAC que tiene como propósito conocer como se deben manejar las emergencias. 
</t>
    </r>
    <r>
      <rPr>
        <b/>
        <sz val="11"/>
        <color indexed="8"/>
        <rFont val="Calibri"/>
        <family val="2"/>
      </rPr>
      <t xml:space="preserve">Adicionalmente, </t>
    </r>
    <r>
      <rPr>
        <sz val="11"/>
        <color theme="1"/>
        <rFont val="Calibri"/>
        <family val="2"/>
        <scheme val="minor"/>
      </rPr>
      <t xml:space="preserve">
1) se ha adelantado en Bogotá la formación de 14 brigadistas (4 en torre y 10 en centro de control)
2)Se ha realizado capacitación  teórico practica 
3) Se solicitó a aeronavegación nacional elprotocolo para evacuación del área.
</t>
    </r>
    <r>
      <rPr>
        <b/>
        <sz val="11"/>
        <color indexed="8"/>
        <rFont val="Calibri"/>
        <family val="2"/>
      </rPr>
      <t>Se retira gestión a :</t>
    </r>
    <r>
      <rPr>
        <sz val="11"/>
        <color theme="1"/>
        <rFont val="Calibri"/>
        <family val="2"/>
        <scheme val="minor"/>
      </rPr>
      <t xml:space="preserve">
1. Solicitud ante infraestructura de plan de intervención para cumplimiento de ruta de evacuación en torres de control.
2. Solicitud  a aeronavegación de elaboración de protocolos de contingencia de permita la evaluación de torres y centro. </t>
    </r>
  </si>
  <si>
    <t>CUMP ÁREA :  95%</t>
  </si>
  <si>
    <t>El área propone ajustar actividades a partir del  tercer trimestre, para que esten  acorde con la normatividad vigente</t>
  </si>
  <si>
    <t>A Junio 30 de 2018 de un total de 16 proyectos considerados estrategicos C=2; N=3;S=2;MET=3;Energía=6), además de los que se radicaron el el primer trimestre en la Secretaria de Sistemas Operacionales, durante el segundo trimestre se radicaron 9.  
Salvo para Energía, los proyectos considerados estratégicos para las otras especialidades continuan su gestion.  Los siguientes proyectos se regionalizaron:  ADQUISICION INSTALACION Y PUESTA EN SERVICIO DE EQUIPOS SUBESTACION ELECTRICA A/B EL DORADO, ADQUISICION, INSTALACION, CALIBRACION Y PUESTA EN SERVICIO DE SISTEMA DE ALIMENTACION ELECTRICA REDUNDANTE  PARA LA PISTA NORTE DESDE S/E NUEVA TWR DE CONTROL EL DORADO, ADQUISICIÓN, INSTALACION Y PUESTA EN FUNCIONAMIENTO DEL SISTEMA SIPRA Y ADQUISICIÓN, INSTALACIÓN Y PUESTA EN FUNCIONAMIENTO DE GRUPOS ELECTROGENOS A NIVEL NACIONAL.
Se aclara que el numero de proyectos estratégicos debe ser igual al número definido en la columna ACTIVIDADES como "número de proyectos" es decir:
COMUNICACIONES
Mantener y ampliar la red VHF/ microondas y sistemas de información aeronáutica - ((PE/PP)*0.3); número de proyectos 2;
https://community.secop.gov.co/Public/Tendering/ContractNoticeManagement/Index?currentLanguage=es-CO&amp;Page=login&amp;Country=CO&amp;SkinName=CCE
NAVEGACION
Siempre han sido 3 proyectos:
Adquisición y puesta en servicio de sistemas de navegación aérea DVOR/ILS - ((PE/PP)*0.2); número de proyectos 3
https://community.secop.gov.co/Public/Tendering/ContractNoticeManagement/Index?currentLanguage=es-CO&amp;Page=login&amp;Country=CO&amp;SkinName=CCE
VIGILANCIA
Adquisición y puesta en funcionamiento de los sistemas ADS-B y sistemas radar SSR -((PE/PP)*0.2); número de proyectos 2
METEOROLOGIA
Ampliación de los sistemas AWOS, Adquisición del sistema GOES - R y sistema radar meteorológico  ((PE/PP)*0.1); número de proyectos 3
ENERGIA
Pasó de 6 a 2
Adquisición de equipos electrógenos, UPS  y migración hacia los sistemas LED en el lado aire                                                                                   ((PE/PP)*0.2; número de proyectos 2</t>
  </si>
  <si>
    <t>META CUMPLIDA 0</t>
  </si>
  <si>
    <t>CUMP : 75%</t>
  </si>
  <si>
    <t xml:space="preserve">CUMP OAP </t>
  </si>
  <si>
    <t>Base de gestión: 8 Instrumentos bilaterales. 
• 17 de abril se realizó la modificación del Régimen Bilateral entre Colombia y Turquía
• 5 de junio se suscribió el Instrumento Bilateral entre Colombia y Aruba
• 19 de junio se modificó el Régimen Bilateral entre Colombia y España</t>
  </si>
  <si>
    <t>Documentos firmados, reposan en el archivo del Grupo de Asuntos Internacionales.</t>
  </si>
  <si>
    <t>Documentos publicados en pagina WEB Aerocivil en el link Normatividad</t>
  </si>
  <si>
    <t xml:space="preserve">Modificar y actualizar para la   norma RAC 3 de los Reglamentos Aeronáuticos de Colombia resaltando la racionalización de los requisitos para el acceso al mercado aéreo  y las modalidades del transporte aéreo. 
</t>
  </si>
  <si>
    <r>
      <t xml:space="preserve">• Desde el 23 de mayo de 2018 se encuentra publicado en la página web de la Entidad para comentarios del público en general el proyecto de resolución (modificando los numerales 3.6.3.2.5 y 3.6.3.2.6) del nuevo procedimiento de audiencia pública. 
De 39 reglamentos LAR por armonizar, se tiene lo siguiente:
1- Concluidos al 100%, 30 reglamentos RAC armonizados
2- En etapa final al 95%, 2 reglamentos RAC 
3- En tapa avanzada al 75%,3 reglamentos RAC
4- En atapa intermedia al 60%, 2 reglamentos RAC 
5- En etapa inicial al 10%, 2 reglamentos RAC
Para un total de avance del 88.5%
</t>
    </r>
    <r>
      <rPr>
        <b/>
        <sz val="9"/>
        <color indexed="8"/>
        <rFont val="Calibri"/>
        <family val="2"/>
      </rPr>
      <t xml:space="preserve">NOTA </t>
    </r>
    <r>
      <rPr>
        <sz val="9"/>
        <color indexed="8"/>
        <rFont val="Calibri"/>
        <family val="2"/>
      </rPr>
      <t>: A solicitud del área se replantea la fecha de entgrega final de la modificación del RAC 3, dejandose paa el mes de diciembre 2018, toda vez que el área priorizó la armonización de los Reglamentos LAR por directrices de la Alta Dirección</t>
    </r>
  </si>
  <si>
    <t>• El día 11 de abril del presente año, se sostuvo una llamada telefónica con el director de la autoridad aeronáutica de Brasil el señor Ricardo Catanant, el cual dio explicaciones sobre los mecanismos de atención a las quejas interpuestas por los usuarios aeroportuarios, adicionalmente el señor Palterson Ferreira envió los documentos de soporte de dichos mecanismos, actualmente se tiene pendiente una reunión con el Director General de la UAEAC, para explicarle lo conversado.
• El 21 de mayo – Se llevó a cabo reunión con la SIC y las empresas aéreas, se expone por parte de la SIC la plataforma SIC FACILITA, para que las aerolíneas voluntariamente acudan a ella en primera instancia, antes de acudir a la Aeronáutica Civil y de esta manera se puedan concluir más rápidamente las quejas de los usuarios del transporte aéreo. Se concluye que el 27 de mayo, las empresas deberían enviar a la OTA, su posición frente a la plataforma. 
• El día 22 de mayo se desarrolló una nueva reunión en la SIC con la participación del Superintendente Delegado del Consumidor, el Jefe de la Oficina Jurídica, el Jefe Asuntos Jurisdiccionales y por parte de la Aerocivil el Coordinador del Grupo de Vigilancia Aerocomercial, el Asesor del despacho de la  OTA y la Coordinadora del grupo de Atención al Usuario, se aclaran puntos de competencia entre las entidades, se comentan procedimientos internos sobre el manejo dado a las quejas de pasajeros y se concluyó que en dado caso que las aerolíneas se acojan a la plataforma SIC FACILITA, pero no se logre ningún acuerdo entre las partes, la SIC remitirá a la Aerocivil las quejas por competencia, además se tocan temas puntuales sobre las sanciones administrativas y se coordina entre las dos entidades elaborar un documento, para cuando lleguen quejas a Aerocivil con pretensiones de indemnización y de información al usuario sobre la competencia de la SIC. 
• Se han realizado campañas de sensibilización y socialización de atención al usuario con las empresas aéreas de transporte de pasajeros, además se replicó el ejercicio en las regionales con aerolíneas y concesionarios a partir de mayo. 
• En la semana del 15 al 18 de mayo se elaboró y se remitió la matriz de seguimiento a la calidad del servicio, con el fin de que semana a semana se diligencie por parte de las aerolíneas, cuya finalidad es la de llevar un mayor control sobre las compensaciones, así como las demoras y cancelaciones de vuelo de cada aerolínea, hasta el momento las aerolíneas han cumplido con el envío de la información. 
• El día 29 de junio del presente año, mediante comunicación No. 2018028464, esta Entidad propuso a la Superintendencia de Industria y Comercio, el cronograma para la realización de la campaña pedagógica para la socialización de medidas de protección a los usuarios del servicio de transporte aéreo, así como los mecanismos de reclamaciones y denuncias.
• Se desarrolló documento en conjunto con la Superintendencia de Industria y Comercio, para la socialización de medidas protección y mecanismos de reclamación y denuncia para los usuarios del servicio de transporte aéreo, el cual será divulgado a partir del día 6 de julio de 2018. 
• Adicionalmente se aprovechará el desarrollo de las sensibilizaciones para solicitarle a los diferentes concesionarios aeroportuarios el apoyo a la gestión del usuario.</t>
  </si>
  <si>
    <t xml:space="preserve"> NA</t>
  </si>
  <si>
    <t>Documentos Actas y demas en el archivo del Despacho de la OTA.</t>
  </si>
  <si>
    <t>Sigue pendiente las decisiones que se deben tomar a nivel de la Alta Dirección con la OTA, debido a que existen responsabilidades que no son competencias que se puedan trasladar al concesionario, sin mediar inclusio en dichos contratos. Conclusión no existe avance en la forma que esta direccionados el compromisos, sinembargo la OTA si interviene en llevar acciones encaminadas para la atención de las reclamaciones de los usuarios del transporte aéreo.</t>
  </si>
  <si>
    <t>A la fecha no se ha determinado si procede cancelación por este tema</t>
  </si>
  <si>
    <t>CUMP ÁREA:  69%</t>
  </si>
  <si>
    <t xml:space="preserve">Se iniciaron 13 actuaciones administrativas encaminadas a  cancelar  la matricula dirección y subdirección </t>
  </si>
  <si>
    <t>El área propone ajustar actividades a partir del  tercer trimestre, para que esten  acorde con la normatividad vigente. Se evalua la gestión realizada frente a la  Política de Transparencia, acceso a la información pública y lucha contra la corrupción de mipg. Pendiente conformación Comité Institucional de Gestión y Desempeño</t>
  </si>
  <si>
    <t>Servidor Bog7 K Evaluación de Proyectos 2018</t>
  </si>
  <si>
    <t>De 46 proyectos presentados por las DITEL, DIA, DSA se verificaron que estuvieron articulados con el PNA,PAA,PEI.</t>
  </si>
  <si>
    <t>Se viablizaron dejando radicados en la Dirección Administrativa 40 proyectos que presentaron las areas despues de correcciones y acompañamiento por parte del GGPA.</t>
  </si>
  <si>
    <t>Bog7 K 4107 - AIS AIM- 2018</t>
  </si>
  <si>
    <t>Se solicita a al Oficina de Planeación la Certificación de los Servicios AIM - MET .
ADI 4110.160.201801573 30 Mayo 2018.</t>
  </si>
  <si>
    <t>Se da inicio a los Niveles de Acuerdo de servicio con el Grupo de Procedimientos ATM . 
GUIA DE ENMIENDA AIP/Colombia</t>
  </si>
  <si>
    <t>La nformación del AIP esta en WGS84</t>
  </si>
  <si>
    <t>Estamos a la espera de la contratacion de matenimiento de la herramietna SIA AIM por parte de Informatica para continuar con el proceso.</t>
  </si>
  <si>
    <t>Pendiente de indicar el area.</t>
  </si>
  <si>
    <t>El manual AIDC la seccion 1,2y 3 elaborado 100% y seccion 4 esta en el 25%,el dcto va en el 81%
El manual ASMGCS esta en la etapa de desarrollo estructural del documento esta en desarrollo el manual en el 50%
MANUAL AIDC</t>
  </si>
  <si>
    <t xml:space="preserve">  (Coord Grupo ASM Medardo Figueroa)
</t>
  </si>
  <si>
    <t>Barranquilla cumplido (enmienda 53 de marzo de 2018 - AIP - Página web)
Aeropuertos 2 y 3 se mantuvieron por existir prioridades mayores</t>
  </si>
  <si>
    <t xml:space="preserve">
 Archivos borradores en ruta del Coord del Grupo.</t>
  </si>
  <si>
    <t>Aeropuertos 3  y  4 se mantuvieron por existir prioridades mayores  (Coord Grupo ASM Medardo Figueroa)</t>
  </si>
  <si>
    <t>)
Archivos borradores en ruta del Coord del Grupo.</t>
  </si>
  <si>
    <t>Aeropuertos 3  y  4 se mantuvieron por existir prioridades mayores  (Coord Grupo ASM Medardo Figueroa</t>
  </si>
  <si>
    <t xml:space="preserve">
Archivos borradores en ruta del Coord del Grupo.</t>
  </si>
  <si>
    <t>CUMP ÁREA :  71%</t>
  </si>
  <si>
    <t xml:space="preserve">Mapa de Riesgos de corrupción Página web. 
El de Gestión en el aplicativo Isolución - Modulo Riesgos.
</t>
  </si>
  <si>
    <t>De acuerdo con el plan anticorrupción y de atención al ciudadano se cumplió con la socialización y publicación del mapa de riesgos de corrupción de la entidad, a 31 de enero de 2018. SE adelanta la revisión y evaluación de los Riesgos de Gestión con el siguiente resultado: Avance del 67% en la revisión de los riesgos de gestión, dato suministrado por los asesores del Grupo de Organización y Calidad</t>
  </si>
  <si>
    <t>Proyecto de resolución se encuentra en la Secretaria General</t>
  </si>
  <si>
    <t xml:space="preserve">1) Realizado
2) Se realizó la estructuración del proyecto de resolución que adopta MIPG y crea el Comité Institucional de Gestión y Desempeño.
3)Se ajusta el cronograma porque no se ha creado el Comité Institucional de Gestión y Desempeño a cargo de la Secretaría General,  que genera el cronograma y estrategias para la implementación de MIPG, por esta razón se califica 50%. 
</t>
  </si>
  <si>
    <t>Visita para ver el funcionamiento de la versión.
Correo de invitación  - Servidor H: Bog7</t>
  </si>
  <si>
    <t>Se verifico la funcionabilidad de la nueva versión 4,6 de Isolucion en la Gobernación de Cundinamarca. La Dirección de Informática adelanta la evaluación de algunos desarrollos que tiene la actual versión del aplicativo ISOLUCION , para aprobar la instalación de la nueva versión 4,6 por esta razon de ajusta el cronograma.</t>
  </si>
  <si>
    <t xml:space="preserve">Como es evidente este FORO se realiza en fases y se llevara a cabo la segunda con los resultados del primero. </t>
  </si>
  <si>
    <t xml:space="preserve">TERCER TRIMESTRE </t>
  </si>
  <si>
    <t>TERCER TRIMESTRE</t>
  </si>
  <si>
    <t>TERCER  TRIMESTRE</t>
  </si>
  <si>
    <t>H:\1020-ControlInterno\2018\420 PLANEACION, GESTION, SEGUIMIENTO Y AUTOEVALUACION\420.2 PLAN DE ACCION\PLAN DE ACTIVIDADES - PLAN DE AUDITORIAS.RIAS</t>
  </si>
  <si>
    <r>
      <t xml:space="preserve">El cumplimiento del Plan de Autitorías a la fecha es de 68%, en actividades de asesoría, acompañamiento, atención de quejas y denuncias de línea Anticorrupción, Informes de Auditoría e informes de ley como se refleja en seguimiento del Plan de auditorías 2018.
</t>
    </r>
    <r>
      <rPr>
        <b/>
        <sz val="11"/>
        <color indexed="8"/>
        <rFont val="Calibri"/>
        <family val="2"/>
      </rPr>
      <t>NOTA :  Este % de avance se ve afectado por politicas de austeridad en la aprobacion de comisiones a los Aptos programados.  Este compromiso sera sometido a evaluacion de ajustes por esta politica.</t>
    </r>
  </si>
  <si>
    <t xml:space="preserve">Se efectó seguimiento a Planes de Mejormaiento  de los Sistemas de Seguridad y Salud en el Trabajao, Sistema de Control Interno y Sistema Integrado de Gestión en un ciclo de auditorías combinadas del 27 al 29 de agosto de 2018.
Se han liberado 2 informes de auditoría con alcance a tres Procesos en donde se contó con la participación de un Auditor de Calidad y se sigue adelantando gestiones para vincularlos en las demás auditorías, en donde no se tiene la participación de auditores internos de calidad, los Auditores de la Oficina asumen la labor de verificación de cumplimiento del Sistema Integrado de Gestión. </t>
  </si>
  <si>
    <t>En el modulo de Mejoramiento aplicativo Isolución.</t>
  </si>
  <si>
    <t xml:space="preserve">Se realizó encuesta a las empresas aéreas, personal licenciado y contratistas para  evaluar el nivel de percepción de la transparencia en la Aeronáutica Civil cuyos resultados se relacionaran en el informe del seguimiento al Plan Anticorrupción y Atención al Ciudadano del cuarto cuatrimestre y se evaluan periodicamente el servicio de autitoría a través del aplicativo Isolucion. </t>
  </si>
  <si>
    <t>En aplicativo Isolución - Informes de Auditoria.</t>
  </si>
  <si>
    <t>CUMP OAP :19,8%</t>
  </si>
  <si>
    <t>CUMP ÁREA : 76%</t>
  </si>
  <si>
    <t>CUMP OAP : 19,0%</t>
  </si>
  <si>
    <r>
      <rPr>
        <sz val="11"/>
        <color indexed="10"/>
        <rFont val="Calibri"/>
        <family val="2"/>
      </rPr>
      <t>DECLARACION TMA BOGOTA (Sectores )</t>
    </r>
    <r>
      <rPr>
        <sz val="11"/>
        <color indexed="63"/>
        <rFont val="Calibri"/>
        <family val="2"/>
      </rPr>
      <t xml:space="preserve"> (Recolección y análisis de datos extraídos del Sistema Metron Harmony, para realizar la correspondiente medición, teniendo en cuenta los factores operacionales que se presenten en la operación).
 </t>
    </r>
  </si>
  <si>
    <t xml:space="preserve">Creación del cargo (Formalizar e integrar procesos y procedimientos OCS) </t>
  </si>
  <si>
    <r>
      <t xml:space="preserve">Elaboración del documento </t>
    </r>
    <r>
      <rPr>
        <sz val="11"/>
        <color indexed="10"/>
        <rFont val="Calibri"/>
        <family val="2"/>
      </rPr>
      <t>(Identificación de las necesidades CDM )</t>
    </r>
  </si>
  <si>
    <r>
      <t xml:space="preserve">Legalización del documento </t>
    </r>
    <r>
      <rPr>
        <sz val="11"/>
        <color indexed="10"/>
        <rFont val="Calibri"/>
        <family val="2"/>
      </rPr>
      <t>(Especificación y verificación de la CDM)</t>
    </r>
  </si>
  <si>
    <t>En septiembre se realizo la versión 2 de actualización  continúa en borrador, pendiente revisión final para legalizar el documento</t>
  </si>
  <si>
    <t>Se encuentra en proceso de nombramiento por parte de la Dir. TH</t>
  </si>
  <si>
    <t>Se cuenta con la carga inicial de toda la información aeronáutica en la herramienta SIA/AIM en español y en ingles.</t>
  </si>
  <si>
    <t>Se tiene prevista capacitación para diciembre  de 2018 para posteriormente poner en funcionamiento la herramienta</t>
  </si>
  <si>
    <t>Se realizó el diagnóstico arrojando la necesidad de contar con esta herramienta tecnológica. Nos encontramos en el proceso del consulta de proveedores y Estados que cuentan con esta herramienta, paralelamente se esta elaborando los documentos necesarios para el  el proceso de adquiisición  de este sistema. Se tiene prevista adjudicación en diciembre de 2018</t>
  </si>
  <si>
    <t>El manual AIDC  esta elaborado en el  100%, pendiente subir a ISOLUCIÓN  para socialización, en cuanto a su implementación  se esta en fase preoperacional y se espera pasar a fase operacional en el primer trimestre de 2019 dependiendo de los avances técnicos operacionales  que en los pasise como Panamá, Perú y Ecuador, para Barranquilla se espera tenerlo implementado para enero de 2019.
El manual ASMGCS esta elaborado el manual, la implementación esta sujeta por actualización del plano de aerodromo en el sistema Nova (dir teleco) y la definición  del tipo de transponder  que se debe utilizar en los vehiculos  que circulan por área de maniobras ( DSSA)  previsto para segundo semestre de 2019</t>
  </si>
  <si>
    <t xml:space="preserve"> (Identificación de las necesidades CDM ) no aplica para este proceso</t>
  </si>
  <si>
    <t xml:space="preserve"> (Especificación y verificación de la CDM)no aplica para este proceso</t>
  </si>
  <si>
    <t>Las actividades se encuentran cumplidad (elaboración de manuales), sin embargo no se puede implemetar porque depende de terceros.  La implentación no se cumple este año</t>
  </si>
  <si>
    <t>Mantener la posición  actualizada en FCMU. A la fecha de corte se tiene el borrador final de la circular AIC  para cordinación de SLOT por parte de los operadores no regulares, se espera poner en vigencia a partir del 18 de noviembre de 2018</t>
  </si>
  <si>
    <t xml:space="preserve">La recolección de datos se realiza permanentemente sin embargo no se obtiene una muestra del 100% por que no se reciben algunos datos por inconvenientes en la mensajería AMHS  </t>
  </si>
  <si>
    <t>Aeropuerto Rionegro presenta avance del 50% realizo actividades de levantamiento y analisi de informacion y diseños de cartas aeronauticas ,Aeropuerto de Riohacha cumplido enmienda 54 Aeropuertos 1 y 3 se mantuvieron por existir prioridades mayores  (Coord Grupo ASM Medardo Figueroa</t>
  </si>
  <si>
    <t>2- 100% Se han publicado 4 rutas a solicitud de demanda de .los interesados  
3 - Inicia sus actividades Nov-Dic  2018 Archivos borradores en ruta del Coord del Grupo.</t>
  </si>
  <si>
    <r>
      <rPr>
        <sz val="11"/>
        <rFont val="Arial"/>
        <family val="2"/>
      </rPr>
      <t xml:space="preserve">Riohacha </t>
    </r>
    <r>
      <rPr>
        <sz val="11"/>
        <color indexed="8"/>
        <rFont val="Arial"/>
        <family val="2"/>
      </rPr>
      <t>cumplido enmienda 54 Aeropuertos1,2 y 3  se mantuvieron por existir prioridades mayores  (Coord Grupo ASM Medardo Figueroa)</t>
    </r>
  </si>
  <si>
    <t>Rionegro presenta avance del 50% (para el trimestre del 90%) realizo actividades de levantamiento y analisis de informacion y diseños de cartas aeronauticas, 2 y 3 se mantuvieron por existir prioridades mayores</t>
  </si>
  <si>
    <t>K:\4004-Coordinacion Seg Serv Operac\2018\SIGMA 2018\Informes\Estadistica utilizacion</t>
  </si>
  <si>
    <t>K:\4004-Coordinacion Seg Serv Operac\2018\SIGMA 2018</t>
  </si>
  <si>
    <t>CUMP ÁREA  :  100%</t>
  </si>
  <si>
    <t>La estadística se genera a través de la herramienta SIGMA, de manera dinámica y en tiempo real, utilizandolá para la toma de decisiones. Adicionalmente, se exporta a un  un archivo en excel para facilidad de consulta para quienes no tengan acceso a la herramienta. Para el trimestre  abiertas 2,433 y cerradas 17,836 debido a que existen ordenes de periodos  anteriores, correspondientes al trimestre se cerraron 2,430 (99,89%)</t>
  </si>
  <si>
    <t>Los avances en las actividades descritas en los ASBUS son las siguientes :  
B0-APTA 69%
 B0-RSEQ 13%
 B0-SURF 50%
 B0-ACDM 30%
 B0-FICE 80%
 B0-DATM 37%
 B0-AMET 74%
 B0- FRTO 27%
 B0-NOPS 19%
 B0-ASUR 62%
 B0-ACAS 100%
 B0-SNET 100%
 B0-CDO 62%
 B0-TBO 3%
 B0-CCO 40%</t>
  </si>
  <si>
    <t xml:space="preserve">El 10 de Sep se llevo a cabo el dia del PNA ,se reviso con : las direccciones y areas de la SSO aerolineas  y con el acompañamiento de Dr Guilherme GOULART Industry Relationships Manager, Colombia , donde se concluyo lo siguiente:
Ese ejercicio fue considerado ampliamente positivo por la autoridad y aerolíneas participantes, las conclusiones generales: 
1. Ejercicio útil, muy necesario y hay que repetirlo con el objeto de discutir el Volumen II, el AOP. 
2. Aerocivil debe realizar las mediciones de los indicadores ya publicados y ajustarlos de acuerdo a las conclusiones para mostrar objetivamente los beneficios operacionales en la utilización de las capacidades instaladas. 
3. El B0-DATM es un pre-requisito para avanzar tanto el Bloque 1 (2013-2018) como hacia el Bloque 2( 2019-2024). Es necesario buscar mecanismos más efectivos para asegurar la provisión de los servicios Plan de vuelo, eAIP, eNOTAM, ETOD, etc. 
4. A través de mediciones mostrar de manera objetiva el grado de utilización de las capacidades instaladas para atender las necesidades de la operación.
5. Explotar al máximo las funcionalidades actuales de los sistemas de la Entidad, con el fin de prever a través del PNA COL, cuándo se requieren nuevas inversiones. 
El grupo de trabajo seguirá revisando y aportando a ese documento. </t>
  </si>
  <si>
    <t xml:space="preserve">
http://www.aerocivil.gov.co/servicios-a-la-navegacion/servicio-de-informacion-aeronautica-ais/Documents/43%20SKRG.pdf</t>
  </si>
  <si>
    <t xml:space="preserve">El grupo de Proyectos  diligencia  revisa que cada proyecto radicado y en el formato etapas de ordenacion del Gasto de los Proyectos de invesrion para la solicitud del CDP,que se verifica que  el proyecto se  encuentre en el PAA y en el PNA , de lo contrario  se devuelve a la direccion correspondiente para actualizar o corregir </t>
  </si>
  <si>
    <t>se realizaron mesas de trabajo con los consultores Union Temporal Uniodos por el  pacifico  y el concorsio -  INECO-CONCOL  para la  consolidacion de los documentos de trabajo, ( EPA, Y PM), los cuales fueron socializados ante la Secretaria de Sistemas Operacionales para la respectiva aprobacion ; y posteriormente  la emison de Resolución de aprobacion y  publicación en el Diario Oficial de la Entidad.</t>
  </si>
  <si>
    <t>Se han atendido  los requerimientos del Ministerio de Transporte  de PMTI . Sin embargo en el trimestre no hubo ningún requerimiento.  Por consiguiente se sigue a la espera de las mesas de trabajo para adelantar el tema.</t>
  </si>
  <si>
    <t>Durante el trimestre se realizarón las siguientes actividades:
Realizar mediciones y análisis de los dos indicadores publicados en el PNA COL ASBU B0-CCO. 
Continuar con las actividades programadas en este módulo             Priorizar mejoramento de forma conjunta (industria y autoridad)  analizando todas las necesidades del espacio aereo a nivel TMA) para una sola intervencion. 
Establecer las metricas comunes (capacidad, eventos TCA's y  aproximaciones desestablizadas,  Demoras , performance de operacion en tiempo real. etc)  y compartir estadistica operacional de interes con las empresas a nivel de espacios aereos para determinar las necesidades de intervencion. REALIZACION DEL DIA DEL  PLAN DE NAVEGACION AEREA  PARA COLOMBIA , con la particpacion de Empresas de aviación, areas  tecnovas de la Entidad, IATA entre otros 
Se compartirán los resultados de las mediciones IFSET 2014-2015 . 
Se realizó reunión con delegado del gobierno francés  dentro del proceso que se viene adelantando para el apoyo técnico en el proceso de actualización del PNA</t>
  </si>
  <si>
    <t>CUMP ÁREA :  80%</t>
  </si>
  <si>
    <t>UT IMÁGENES R</t>
  </si>
  <si>
    <t>En ejecucion</t>
  </si>
  <si>
    <t>V:\CONTRATOS 2018\CONTRATOS Y CONVENIOS</t>
  </si>
  <si>
    <t>para el cumplimiento de esta actividad se programaron actividades tendientes a la modernización y prestación del servicio de Vigilancia  durante el del 28,2% y como avance de la vigencia 27,5%</t>
  </si>
  <si>
    <t>para el cumplimiento de esta actividad se programaron actividades tendientes a la modernización y prestación del servicio SEI  durante el  III trimestre del 23,8% y como avance de la vigencia 23,6%</t>
  </si>
  <si>
    <t>para el cumplimiento de esta actividad se programaron actividades tendientes a la modernización y prestación del servicio Ambiental  durante el  III trimestre del 23,7% y como avance de la vigencia 23,0%</t>
  </si>
  <si>
    <t>para el cumplimiento de esta actividad se programaron actividades tendientes a la modernización y prestación del servicio de Sanidad  durante el  III trimestre del 11,3% y como avance de la vigencia 10,8%</t>
  </si>
  <si>
    <t>K:\4002-Coordinacion Servicios</t>
  </si>
  <si>
    <t>para el cumplimiento de esta actividad que tiene un peso del 5% del compromiso, se programaron actividades tendientes a la modernización y prestación del servicio de operaciones aeroportuarias  3,5% y como avance de la vigencia 1,2%.  El avance es poco debido a que no se han autorizado viaticos para el desplazamiento de los aeropuertos para su comprobación</t>
  </si>
  <si>
    <t>V:\CONTRATOS 2018\CONTRATOS Y CONVENIOS
T:\2018\Sec_SO\Telecomunicaciones</t>
  </si>
  <si>
    <t>CUMP ÁREA:  56,47%</t>
  </si>
  <si>
    <t xml:space="preserve">De 28 proyectos presentados por la areas DITEL, DIA y DSA se verifico que todos  estuvieran articulados con el PNA PAA  </t>
  </si>
  <si>
    <t>CUMP ÁREA  :  73%</t>
  </si>
  <si>
    <t>Se viablizaron dejando radicados en la Dirección Administrativa 11  proyectos que presentaron las areas despues de correcciones y acompañamiento por parte del GGPA. De los 17 proyectos por radicar se encuentran en correciones por parte de las áreas, se tiene previsto radicarlos en el mes de octubre. Es importante precisar que algunos proyectos son objeto de varias revisiones y devoluciones lo que causa demora en el desarrollo de las actividades</t>
  </si>
  <si>
    <t>CUMP ÁREA  :  82%</t>
  </si>
  <si>
    <t xml:space="preserve">SecretariaSO(\\bog7)(K:)\4004-Coordinacion Seg Serv Operac\2018\PLAN DE ACCION\SSO\ </t>
  </si>
  <si>
    <t>K:\4003-Planes_maestros\4005.377.5-PLANES MAESTROS\</t>
  </si>
  <si>
    <t>K:\4003-Planes_maestros\4005-PNA</t>
  </si>
  <si>
    <r>
      <t xml:space="preserve">Por decisión de la Dirección General y </t>
    </r>
    <r>
      <rPr>
        <sz val="11"/>
        <color indexed="10"/>
        <rFont val="Calibri"/>
        <family val="2"/>
      </rPr>
      <t xml:space="preserve">la Oficina Asesora de Planeación OAP, </t>
    </r>
    <r>
      <rPr>
        <sz val="11"/>
        <color theme="1"/>
        <rFont val="Calibri"/>
        <family val="2"/>
        <scheme val="minor"/>
      </rPr>
      <t xml:space="preserve"> se decidió que los proyectos de actualización  de Planes Maestros se aplazaran para ser ejecutados en la vigencia de 2019 , por consiguiente se da por cumplido de este proyecto ( Nororiente, El Dorado), entre otros. </t>
    </r>
  </si>
  <si>
    <r>
      <t>Por decisión de la Dirección General y</t>
    </r>
    <r>
      <rPr>
        <sz val="11"/>
        <color indexed="10"/>
        <rFont val="Calibri"/>
        <family val="2"/>
      </rPr>
      <t xml:space="preserve"> la Oficina Asesora de Planeación OAP,</t>
    </r>
    <r>
      <rPr>
        <sz val="11"/>
        <color theme="1"/>
        <rFont val="Calibri"/>
        <family val="2"/>
        <scheme val="minor"/>
      </rPr>
      <t xml:space="preserve">  se decidió que los proyectos de actualización  de Planes Maestros se aplazaran para ser ejecutados en la vigencia de 2019 , </t>
    </r>
    <r>
      <rPr>
        <sz val="11"/>
        <color indexed="10"/>
        <rFont val="Calibri"/>
        <family val="2"/>
      </rPr>
      <t xml:space="preserve">por consiguiente se da por cumplido de este proyecto ( Nororiente, El Dorado), entre otros. </t>
    </r>
  </si>
  <si>
    <t>ACTIVIDAD CUMPLIDA AL 100% EN EL SEGUNDO TRIMESTRE DE LA VIGENCIA - Concluida la etapa 3 del  proceso de  Normalizado-CMDN con la Impartición del curso el 23 al 27 de abril a un Grupo de 15 controladores de Tránsito Aéreo de las diferentes regionales aeronáuticas del País, para la obtención de la MEMBRESÍA PLENA en el programa Train Air Plus de la OACI. - “Investigación de Incidentes ATS, como herramienta del SMS”.</t>
  </si>
  <si>
    <t>Las evidencias se encuentran ubicadas en el BOG7 Institucional - Dirección Subdirección - 1042 Planeación - Plan de Acción 2018
Documento soporte del proceso realizado y certificación.</t>
  </si>
  <si>
    <t xml:space="preserve">ACTIVIDAD CUMPLIDA AL 100% EN EL SEGUNDO TRIMESTRE DE LA VIGENCIA </t>
  </si>
  <si>
    <t xml:space="preserve">ACTIVIDAD CUMPLIDA AL 100% EN EL SEGUNDO TRIMESTRE DE LA VIGENCIA - </t>
  </si>
  <si>
    <t xml:space="preserve">Se  han  desarrollado  cinco  productos  de  investigación  científica:
1. Implementación de sistema para la medición de fuerzas aerodinámicas en un túnel de viento subsónico. 
2. Sistemas Remotos Centralizados: Una Solución Efectiva Para El Mantenimiento Aeronáutico
3. Metodología para estimar el potencial energético en las estaciones aeronáuticas de la Aeronáutica Civil de Colombia
4. Cálculo de la capacidad de aeronaves por hora de los sectores de control de tránsito aéreo del área de control terminal de Bogotá.
5. Diseño de un sistema de generación solar fotovoltaico con posibilidad de operar en isla para el aeropuerto José María Córdova.  </t>
  </si>
  <si>
    <t>Evidencias: La  información  se    encuentran en la  siguiente  ruta pagina  WEB  de la  Entidad. http://www.aerocivil.gov.co/aerocivil/foro2030/Memorias</t>
  </si>
  <si>
    <t>Las evidencias se encuentran ubicadas en el BOG7 Institucional - Dirección Subdirección - 1042 Planeación - Plan de Acción 2018
http://www.aerocivil.gov.co/aerocivil/foro2030/notas-de-estudio</t>
  </si>
  <si>
    <t>Las evidencias se encuentran ubicadas en el BOG7 Institucional - Dirección Subdirección - 1042 Planeación - Plan de Acción 2018 
Circular No. 3100082-2018022278 del 31 de Julio de 2018 Diagnostico de necesidades de aprendizaje organizacional - Plan Nacional de Formación y Capacitación PIC 2019</t>
  </si>
  <si>
    <t>METAS CUMPLIDAS: 3</t>
  </si>
  <si>
    <t>En el mes de Julio de 2018 se obtuvo la Membrecía Trainair Plus  por  parte de  la OACI, le permite a la entidad desarrollar procesos de formación bajo los estándares internacionales reconocidos por este programa.</t>
  </si>
  <si>
    <t>Las evidencias se encuentran ubicadas en el BOG7 Institucional - Dirección Subdirección - 1042 Planeación - Plan de Acción 2018
Lista de Asistencia Sep. 2018 - Grupo Académico</t>
  </si>
  <si>
    <t>En espera de  respuestas  aprobación del mismo. Mediante  comunicación  No. 1041-2018011057 de 17 de Abril de 2018
En el mes de Septiembre se efectuó reunión con la SSOAC con la finalizadad de ver los avances de la solicitud de la adición del programa.</t>
  </si>
  <si>
    <t>Las evidencias se encuentran ubicadas en el BOG7 Institucional - Dirección Subdirección - 1042 Grupo de Planeación - Plan de Acción 2018</t>
  </si>
  <si>
    <t>Se realizo Consejo académico CEA mediante aprobación acta No.50 de documentos institucionales como insumo para la elaboración de la política de sistema de crédito, el cual se encuentra pendiente la elaboración de dicho documento.</t>
  </si>
  <si>
    <t>Se encuentra pendiente 1 producto de investigación científica para el cumplimiento total de la meta</t>
  </si>
  <si>
    <t>Se realizo presentación de resultados en el II FORO Sector Aéreo 2030, el cual se efectuó el 05 de julio de 2018, de igual manera la OAP se encuentra realizando la respectiva socialización con cada una de las áreas de la entidad.</t>
  </si>
  <si>
    <t>Se realizo presentación de resultados en el II FORO Sector Aéreo 2030, el cual se efectuó el 05 de julio de 2018.
El documento generado corresponde a la NOTA DE ESTUDIO_Desarrollo del Talento humano en el sector.</t>
  </si>
  <si>
    <t xml:space="preserve">Se encuentro en desarrollo estudio de oferta académica externa para la vigencia 2019.
En cuanto a la oferta interna se culmino la primera fase del levantamiento de información de necesidades de capacitación de la entidad por parte de la Dir. de Talento Humano.
No aplica seguimiento para el 2do trimestre. </t>
  </si>
  <si>
    <t>Bog7 Dirección/Subdirección1050/OAJ/Plan de Acción /Matriz de Pagos y Sentencias</t>
  </si>
  <si>
    <t>Bog7 Dirección/Subdirección1050/OAJ/Plan de Acción /Actas de reunión  (17 de agosto)</t>
  </si>
  <si>
    <t>Bog7 Dirección/Subdirección1050/OAJ/Plan de Acción /Resoluciones de Pago</t>
  </si>
  <si>
    <t>La Matriz de pago se encuentra actualizada, durante el trimestre se atendieron y cancelaron 6 Sentencias y 1 Conciliación.
Se realizo acta de reunión con fecha 17 de Agosto de 2018.
Las resoluciones de pago se encuentran en la carpeta de cada proceso y de cada apoderado. 
Se traslado carpeta al Bog7 OAJ, correspondiente a las resoluciones de pago.</t>
  </si>
  <si>
    <t xml:space="preserve">Bog7 Dirección/Subdirección1050/OAJ/Plan de Acción /Concepto jurídicos
Intranet  Normatividad </t>
  </si>
  <si>
    <t>Durante el III Trimestre se recibieron 10 solicitudes de conceptos y se emitió respuesta en el menor tiempo posible.
La OAJ acompaña jurídicamente como parte integrante el comité de contratación en el desarrollo precontractual de los procesos de contratación.</t>
  </si>
  <si>
    <t>Bog7 Dirección/Subdirección1050/OAJ/Plan de Acción /Daño antijurídico</t>
  </si>
  <si>
    <t xml:space="preserve">Se ajusta primera actividad para guardar consistencia con el compromisos y la meta.
Reducir el impacto de los fallos judiciales en contra de la UAEAC 
El 11 de Julio se presento el proyecto de política de daño antijurídico al comité de conciliación y este a su ves sugirió realizar algunos cambios, por lo que se realizaron los ajustes sugeridos y se envió nuevamente a la Agencia Nacional de Defensa Juridicial del Estado, para su aprobación </t>
  </si>
  <si>
    <t>CUMP ÁREA:  98%</t>
  </si>
  <si>
    <t>METAS CUMPLIDAS: 2</t>
  </si>
  <si>
    <t>Se proyecto oficio dirigido a la oficina asesora de planeación, el cual se asigna ADI para el mes de noviembre.</t>
  </si>
  <si>
    <t xml:space="preserve">Se presentó informe ejecutivo el 30 de septiembre,  (Matriz Aerocivil - Aní - Informes). 
Compromisos solucionados y cerrados  28 corresponde
Compromisos en gestión 15 corresponde
Compromisos transferidos 1 corresponde 
Compromisos de difícil cumplimiento 3 corresponde
Mensualmente se van gestionando las tareas pendientes y se van cerrando. </t>
  </si>
  <si>
    <t>Se tiene un consolidado  de 28 tareas  cerradas.</t>
  </si>
  <si>
    <t xml:space="preserve">El Convenio está para aprobación de Aerocivil en SECOP II (trámite a cargo de la Dirección Administrativa). Pendiente de firmas del Presidente de la ANI y Director de Aerocivil. </t>
  </si>
  <si>
    <t>ACTIVIDAD CUMPLIDA 100% EN EL SEGUNDO TRIMESTRE - El 9 de mayo se aprobó por parte del Coordinador del Grupo de Concesiones Aeroportuarias y la Jefe de la Oficina de Comercialización e Inversión el procedimiento de las APP, se encuentra en Isolucion.</t>
  </si>
  <si>
    <t>El proyecto DORADO II y SAB 2050 se encuentran a la fecha suspendido, una vez se dé el resultado de la consultoría por parte de la Aerocivil de la capacidad del espacio, la entidad tomara decisiones respecto a la propuesta más favorable, El proyecto CAMPO DE VUELO EL DORADO  la Aerocivil solicito a la ANI y al originador ampliación del alcance del proyecto según oficio 2018020465 mayo 11 de 2018 a la fecha no ha habido pronunciamiento, con respecto a la IP SAN ANDRES ISLAS, se encuentra en análisis el borrador de las tarifas.</t>
  </si>
  <si>
    <t>ACTIVIDAD CUMPLIDA 100% SEGUNDO TRIMESTRE - Formato aprobado se puede evidenciar en Isolucion.</t>
  </si>
  <si>
    <t>Una vez adelantada la aplicación, se recopiló la muestra, se clasificó, se tabuló, se analizó, se sacaron porcentajes, se consolidó  la información y se allegó al Director Regional de Cundinamarca y al Administrador Aeroportuario, para su revisión.</t>
  </si>
  <si>
    <t>Se presentó  el análisis y consolidación del aeropuerto de Pitalito.</t>
  </si>
  <si>
    <t>CUMP ÁREA : 99%</t>
  </si>
  <si>
    <t xml:space="preserve">Se iniciaron 24 actuaciones administrativas encaminadas a  cancelar  la matricula dirección y subdirección </t>
  </si>
  <si>
    <t>CUMP ÁREA:  87%</t>
  </si>
  <si>
    <t>Se realizó socialización con el Administrador y el Director Regional, esto se envió vía mail de fecha 06 de septiembre de 2018.</t>
  </si>
  <si>
    <t>Este compromiso se cumplió al 100%, por parte de la Oficina de Comercialización e inversión.</t>
  </si>
  <si>
    <t>Se enviaron para análisis las propuestas de fuentes de financiación para los proyectos Dorado II , SAB 2050, Campo de Vuelo, IP San Andrés Islas y Providencia las cuales fueron socializadas con las áreas técnicas competentes.</t>
  </si>
  <si>
    <t>Se realizó la aplicación del Sondeo de Opinión a un universo de 56 usuarios de los diferentes Grupos objetivo del aeropuerto Contador. No se han visitado más aeropuertos debido a que la Oficina solicita una evaluación de los resultados de las aplicaciones por parte de los Directores Regionales y Administradores.  dado que a la fecha, solamente un administrador ha presentado respuesta a través de una matriz de seguimiento a las anotaciones relacionadas con el resultado de la tabulación.</t>
  </si>
  <si>
    <t>1070 - Bog7 OFIC COMERCIAILIZACION</t>
  </si>
  <si>
    <t>pendiente actualizar por parte del área, la ruta de las evidencias</t>
  </si>
  <si>
    <t>A la fecha (30/sep) se encuentran 44 actuaciones administrativas</t>
  </si>
  <si>
    <t>A la fecha (30/sep) no se ha determinado si procede cancelación por este tema</t>
  </si>
  <si>
    <t xml:space="preserve">Según cronograma el seguimiento se realizará en el último trimestre, sin embargo realizan observaciones que reflejan avance en actividades </t>
  </si>
  <si>
    <t>Se firmó contrato 18001023 H3 el día 24 de septiembre de 2018</t>
  </si>
  <si>
    <t>el día 10 de julio de 2018, con oficio radicado 3205-20180211003 la dir administrativa devuelve los documentos del proyecto, debido a que en comité de contratación del 21 de julio, se determinó que el proyecto debía ser estructurado de diferente manera, pues debia previamente acordar con las áreas que involucran el tema objeto de la contratación tales como ADI, control interno y aquellas otras que se considerasen a fines con el tema.  No aprobado, el tiempo para  volverlo a estructurar no es suficiente para su ejecución en la presente vigencia.</t>
  </si>
  <si>
    <t>No se llevó a cabo. Teniendo en cuenta que dentro del PAA 2018 se encontró el proceso "CONTRATAR SERVICIOS DE APOYO Y ASESORIA PARA EL FORTALECIMIENTO INSTITUCIONAL - CONTRATAR PROYECTO GESTION DOCUMENTAL" el cual está relacionado con el presente proyecto  y que el avance o establecimiento oficial del Programa de Gestión Documental de la Entidad no es claro, se decide por parte de la Dirección de Informática no adelantar este proceso. Lo anterior también se soporta en que al presentar el anteproyecto de inversión 2019 a la OAP, esta oficina observó no adelantar esta iniciativa hasta que las condiciones en procesos y procedimientos en Gestión Documental de la Entidad estén bien definidas por las áreas responsables.</t>
  </si>
  <si>
    <t>Según cronograma el seguimiento se realizará en el último trimestre, sin embargo realizan observación que refleja avance en la actividad</t>
  </si>
  <si>
    <t>Se elaboró documento de justificación de vigencias furutas y se inició el trámite de VF a través del SUIFP.</t>
  </si>
  <si>
    <t>Proceso pre-contractual 18001024 H2  adjudicado. Se Firmó el contrato el día 22 de septiembre de 2018</t>
  </si>
  <si>
    <t>Se adelantaron 5 eventos en CCE: 18000922 H2 (Orden de compra CCE 28680);  18001007 H2 (Orden de compra CCE 28867);  18001008 H2 (Orden de compra CCE 28865);  18001009 H2 (Orden de compra CCE 28866); 18001006 H2 (Orden de compra CCE 28868). Ordenes en ejecución, como fecha de finalización 30 de octubre.</t>
  </si>
  <si>
    <t>Proceso pre-contractual 18001200 en curso. La presentación de ofertas se fijó para el 12 de octbure de 2018</t>
  </si>
  <si>
    <t>Proceso pre-contractual No. 18000985 H2, adjudicado a Consemar el día 03 de septiembre de 2018. Firma del contrato: 24 de septiembre de 2018.</t>
  </si>
  <si>
    <t>SE REALIZA COMPRA MEDIANTE AMP - CCE MICROSOFT II; VALOR ADJUDICADO: $1.398.463.395.
EN ESTUDIOS PREVIOS  Y CONFORMACION DE DOCUMENTOS PRECONTRACTUALES para adquirir licencias de software ESPECÍFICO: Proceso No. 18000961 H2 Adjudicado a Gold Sys, subasta realizada el día  17 de septiembre de 2018</t>
  </si>
  <si>
    <t>* Sesión de trabajo ciberseguridad red ATN
* Taller identificación riesgos activos de información GIN-6.0
*  Taller sensibilización SGSI Guaymaral
* Presentación gestión de identidades MSL -CA Dir Informática
* Presentación SGSI Comité Directivo
* Presentación SGSI Dir Inforática
* Sesión sensibilización Seguridad Inforática CEA
* Sensibilización alm. protec. bog7 Atención al ciudadano
* Taller valoración y riesgos activods de TI</t>
  </si>
  <si>
    <t>14 contratos en ejecución: Soporte a los sistemas de información ALFAGL, SITAH, ADI, ControlT, Calidad, SIAII, Compendios Juridicos, SPSS, Procesos Judiciales, control de acceso, Videoconferencia, WMWARE, soporte y actualización APP AIPCol y antivirus.
4 Procesos de contratación publicados en el SECOP y en curso de proceso pre-contractual:  Dataprotector , BSM,, SIGMA, Soporte HP
Proceso de soporte y mantenimiento al  software del sistema de información  SIA/AIM --&gt; firma contrato No.18001161 H3  24/09/2018
Soporte a Microstation,: declarado desierto
Soporte al sistema SIGA:Se elaboró documento de justificación de vigencias furutas y se inició el trámite de VF a través del SUIFP.</t>
  </si>
  <si>
    <t xml:space="preserve">Contrato de soporte a  seguridad perimetral  18000695 H3 en ejecución
Proceso 18000979A H3 de soporte a balanceadores en curso, presentación de ofertas 29 de septiembre de 2018. </t>
  </si>
  <si>
    <t xml:space="preserve">DECLARACION TMA BOGOTA (Sectores ) no aplica, </t>
  </si>
  <si>
    <t>K:\4100-Svc-NavegacionAerea\2018\DOCUMENTOS 2018</t>
  </si>
  <si>
    <t xml:space="preserve">K:\4100-Svc-NavegacionAerea\2018\DOCUMENTOS 2018
</t>
  </si>
  <si>
    <t xml:space="preserve">
 K:\4100-Svc-NavegacionAerea\2018\DOCUMENTOS 2018</t>
  </si>
  <si>
    <t>K:\4007-Gestion Seg Opera Asegur Calidad\2018</t>
  </si>
  <si>
    <t xml:space="preserve">La primera versión del Manual SMS incluye la fijación de la política y objetivos de seguridad operacional, en cumplimiento del RAC219 y el Plan de acción 2018. </t>
  </si>
  <si>
    <t xml:space="preserve">El cronograma de ago-dic 2018, esta firmado por el Ejecutivo responsable y se encuentra en ejecución. Esta publicado en  K:\4007-Gestion Seg Opera Asegur Calidad\2018\4007581 SISTEMA GESTIÓN SEGURIDAD OPERACIONAL\4007581 6 PLAN IMPLEMENTACIÓN SMS. </t>
  </si>
  <si>
    <t xml:space="preserve">El 21 septiembre de 2018, se firmó la primera versión del Manual SMS de la SSO, que fundamenta el crecimiento y maduración del SMS del proveedor de servicios a la navegación aérea y servicios aeroportuarios. El Manual con clave GDIR 1.0-05-002 se encuentra publicado en ISOLUCION  asi como en el portal de la Entidad en http://www.aerocivil.gov.co/servicios-a-la-navegacion-aerea/sistema-de-gestion-de-seguridad-operacional. </t>
  </si>
  <si>
    <t xml:space="preserve">Se están consolidando en un archivo Excel todos los reportes conocidos hasta la fecha. Se esta trabajando en la unificación del formato MOR/Voluntario con la Autoridad para facilitar el intercambio de información de SO. </t>
  </si>
  <si>
    <t xml:space="preserve">Para conocer el estado de cada uno de los reportes  relativos de SO, y de acuerdo con lo establecido en el Manual SMS versión1, se han analizado y clasificado los reportes por servicios, para distribuir a las 4 Direcciones responsables de atenderlos , de esta manera conocer el estado a la fecha, y luego continuar con el seguimiento a las acciones correctivas. En borrador el Instructivo para la operación del SDCPS. </t>
  </si>
  <si>
    <t xml:space="preserve">Se ha programado el lanzamiento del Manual SMS, para el 16 de novimebre de acuerdo con la agenda del DG, para conocimiento de la comunidad.  Se realizará un censo de necesidades de entrenamiento con las personas que asistan al evento. 
Igualmente se publicara al menos un boletin SMS este año, y se incluira dentro de la campaña AEROEDUCANDO el SMS. 
En conjunto con la DTh se ha inlcuido el SMS/SO en la Inducción y reinducción. </t>
  </si>
  <si>
    <t xml:space="preserve">Con base en datos de MOR compartidos por la Autoridad, se clasificaron los reportes de acuerdo con la taxonomia, y se entregó información  consolidado para orientar a  la SSO, en la asignación de recursos de inversión en el MGA proyectos reformulados para el 2019. 
Una vez el SSO envie los datos de reportes relativos a seguridad operacionales a las cuatro Direcciones, se iniciara un acompañamiento sistemático con las áreas para atender todos los reportes que se encuentren en Estado ABIERTO. </t>
  </si>
  <si>
    <t xml:space="preserve">En coordinación con la Dirección General, el Secretario de Sistemas Operacionales, el CEA y Grupo Prensa. </t>
  </si>
  <si>
    <t xml:space="preserve">Pendiente para noviembre. </t>
  </si>
  <si>
    <t xml:space="preserve">De acuerdo con el Manual SMS versión 1 del 21 sep 2018, no habrá un SMS por aeropuerto. El Manual aplica para la provisión de los servicios a la navegación aérea y servicios aeroportuarios. Para aquellos aeropuertos concensionados se coordinará junto con la Oficina de Comercialización en lo que corresponda. </t>
  </si>
  <si>
    <t>se reporto al 100% en el segundo trimestre</t>
  </si>
  <si>
    <t xml:space="preserve">Se han tomado todas las directrices del Sistema de gestión, las herramientas de ISOLUCION para aprovacharlas en beneficio de la seguridad operacional y del SMS de la SSO.  De hecho el Manual SMS esta en GDIR 1.0, por ser estratégico y transversal en materia de provisión de servicios.  Esta pendiente, de acuerdo con el cronograma iniciar la actualización de la documentación vigente de procesos misionales, en relación a seguridad operacional de conformidad con el Manual SMS. </t>
  </si>
  <si>
    <t xml:space="preserve">Una vez se desplieguen el SMS de acuerdo con el Manual, a los procesos misionales de provsión de servicios, se ajuste la documentación vigente y se documente lo faltante, se podrian realizar auditorias selectivas. </t>
  </si>
  <si>
    <t xml:space="preserve">Dentro del Manual SMS y del RAC 219, no está incluida la evaluación de seguridad operacional. Acompañamiento a las cuatro dirección de la SSO en la evaluación y gestión de los resportes a partir de novimebre de 2018. </t>
  </si>
  <si>
    <t>CUMP ÁREA : 86%</t>
  </si>
  <si>
    <t>El manual es el único documento</t>
  </si>
  <si>
    <t>Base de gestión: 8 Instrumentos bilaterales. 
• 18 de septiembre se suscribió el Instrumento Bilateral entre Colombia y Finlandia
• 27 de septiembre se suscribió el Instrumento Bilateral entre Colombia y Cuba</t>
  </si>
  <si>
    <t>CUMP ÁREA :   97%</t>
  </si>
  <si>
    <t>MECI: En el transcurso de los tres trimestres se han cerraron 299 hallazgos del PM OCI, de la meta que es el 70% de 876 hallazgos. Los hallazgos cerrados en el tercer trimestre son 26.</t>
  </si>
  <si>
    <t xml:space="preserve">Al 30 de septiembre de 2018 se han cerrado 112 hallazgos, de 134 hallazgo tomados como meta.
50 hallazgos  corresponden al tercer timestre. </t>
  </si>
  <si>
    <t>metas presupuestales a Septiembre</t>
  </si>
  <si>
    <t>Meta Cumplida en el segundo trimestre</t>
  </si>
  <si>
    <t>El documento guia "un nuevo modelo de gestión para las regiones" se encuentra en la etapa de conciliación ante el Director General. 
El documento guia desarrolla las funciones que le delega el Decreto 823 del 2017.</t>
  </si>
  <si>
    <t xml:space="preserve">Planeación tiene conociemitno del cambio de dirección de la tarea y aun no se ha concretado nada ya que no se ha recibido el documento definitivo </t>
  </si>
  <si>
    <t>Para el seguimiento del tercer trimestre,
 1- Se definio equipo de profesionales para la revisión y observaciones a los borradores, antes de subirlos a ISOLUCION 
2- Se revisaron los  indicadores para las áreas Precontractual , Contractual y Seguros
3- Se revisaron y modificaron los procedimientos del Almacén y Activos Fijos</t>
  </si>
  <si>
    <t>1- Se generaron indicadores para las áreas,  Precontractual CALIDAD DE PROYECTOS RADICADODS POR LAS ÁREAS ORDENADORAS DEL GASTO EN EL ÁREA ADMINISTRATIVA PARA INICIO DEL PROCESO PRECONTRACTAL, CONTRACTUAL  OPORTUNIDAD APERTURA PROCESOS SANCIONATORIOS; para las 6 regionales CUMPLIMIENTO AL PLAN ANUAL DE ADQUISICIONES .</t>
  </si>
  <si>
    <t>A la fecha no se adoptado y socializado, dado que estan en etapa de revisión, se estima culminar a a 31/12/2018, con avances en el mes de noviembre.</t>
  </si>
  <si>
    <t>Se viene cumpliendo el cronograma de sensibilización planteado 
1- Se tiene capacitado a los supervisores de ATLANTICO, ANTIOQUIA, BOGOTA. 
2- Se encuentra en revisión el borrador del Manual de Supervisón</t>
  </si>
  <si>
    <t>Se detectó la inexistencia de procedimientos para los servicios generales. 
Se realizaron dos mesas de trabajo, a tráves de reuniones de equipo de gerencia y otra de seguimiento al plan, donde se solicitó  el levantamiento de los procesos de servicios generales.</t>
  </si>
  <si>
    <t>A noviembre se  generaran los borradores del procesos que se deben documentar del grupo de servicios generales.</t>
  </si>
  <si>
    <t xml:space="preserve">
Se estan construyendo los procedimientos de los servicios, ajuste de funciones y responsabilidades del área de servicios generales </t>
  </si>
  <si>
    <t>Cuantos numerales a reformular? Son 37
 racionalización de los requisitos para el acceso al mercado aéreo  y las modalidades del transporte aéreo. RAC 3
OAP : El area debe contemplar la primera actividad que es un cronograma. (Se debe evidenciar)
y la tercera actividad debe mencionar cuando se programa la actualización</t>
  </si>
  <si>
    <r>
      <rPr>
        <b/>
        <sz val="11"/>
        <color indexed="8"/>
        <rFont val="Calibri"/>
        <family val="2"/>
      </rPr>
      <t>Se cumplió en el primer trimestre</t>
    </r>
    <r>
      <rPr>
        <sz val="11"/>
        <color theme="1"/>
        <rFont val="Calibri"/>
        <family val="2"/>
        <scheme val="minor"/>
      </rPr>
      <t xml:space="preserve">
Se presentó un cambio en el cronograma del aeropuerto de Ipiales por  el aeropuerto de Pitalito, debido a la importancia turística que presenta dada la afluencia de público hacia el parque de San Agustín  y a las obras que se proyecta ejecutar.</t>
    </r>
  </si>
  <si>
    <t xml:space="preserve">Circular No.004 : Disponible en Bog7 del Grupo de Inspección de Operaciones y correo electrónico del Secretario de Seguridad Aérea - SSOAC.
Resolución 01777 21/07/2018: Disponible en Bog7 de la SSOAC.
Proceso de armonización: Disponibles en la pagina web de la Aerocivil </t>
  </si>
  <si>
    <t xml:space="preserve">La SSOAC en contribución al citado compromiso a trabajado los siguientes temas:
- Circular No.004 del 01 de Agosto de 2018, para la estandarización de la operación de los vuelos Chárter extranjeros por parte de la Dirección General.
- Resolución 01777 del 21 de Julio de 2018 , para la operación de Taxis Aéreos en rutas no regulares sin ninguna restricción, en rutas no comerciales (Modificación RAC 3.6.3.3.1.7.1), divulgada al personal de inspectores.
- Proceso de armonización de los RAC en trabajo con la OTA, a continuación relacionados:
RAC 121 - se envió  el borrador del RAC 121 con copia al grupo de normas aeronáuticas mediante correo del día viernes, 22 de junio de 2018; ( Evidencia ver correo adjunto)
RAC 135 - está publicado para consulta por parte de los operadores en proyectos de resolución.  Evidencia: http://www.aerocivil.gov.co/normatividad/transporte
RAC 91 - fue adoptado mediante Resolución N° 01594 del 07 de Junio de 2018  Evidencia: http://www.aerocivil.gov.co/normatividad/RAC/RAC%20%2091%20-%20Reglas%20Generales%20%20de%20Vuelo%20y%20de%20Operación.pdf
RAC 119 -fue adoptado mediante Resolución N° 01593 del 07 de Junio de 2018; 
RAC 129 - Operaciones de Explotadores Extranjeros, 30/06/2018 fue enviado el proyecto de resolución al grupo de normas aeronouticas de OTA, por parte de la SSOAC.
RAC 219 - publicado mediante Resolución N°3736 de Dic/2017
</t>
  </si>
  <si>
    <t xml:space="preserve">Esta actividad se cumplio por parte de la SSOAC, con la elaboración y entrega de una matriz de costos referida a los procesos de certificación (cobro por tramite) y se remitió para la revisión al Grupo de Estudios Sectoriales y a la Oficina Asesora de Planeación, quines participaron del proyecto de elaboración, pendiente por parte de la OTA para la aprovación del comite de tarifas. </t>
  </si>
  <si>
    <t>Proyecto de Tarifa de procesos de certificación: Disponible en Bog7 de la SSOAC.</t>
  </si>
  <si>
    <t xml:space="preserve">Validar con la OTA en que estado se encuenta el presente compromiso, frente al proyecto de resolución que se encuentra publicado en la pag </t>
  </si>
  <si>
    <t>Bog7/SSOAC/Avance programa de Vigilancia a corte 30 de  septiembre de 2018.
Las evidencias de la planeación y ejecución del plan de vigilancia se encuentran publicadas en Bog7. L: En cada carpeta correspondiente a las áreas.</t>
  </si>
  <si>
    <t xml:space="preserve">El cumplimiento del compromiso estratégico a Septiembre de 2018 es del 85%, actividades que contemplan la programación de vigilancia y la ejecución de las inspecciones.
Con corte al III Trimestre las inspecciones realizadas son 2.735, se adjunta Anexo No. 1 que describe la ejecución de inspecciones por grupo.
</t>
  </si>
  <si>
    <t>Programación anual de las capacitaciones - Disponible en el Bog7 de la SSOAC./Anexo No. 2.</t>
  </si>
  <si>
    <t>Disponible en el Bog7 de la SSOAC (Anexos 2,3,4 y 5)</t>
  </si>
  <si>
    <t>Dada la modificación al plan inicial de capacitaciones por las restricciones de contratación y participación de cursos en el exterior dada su condición de provisionalidad, esta Secretaría replanteó el plan de capacitación en el mes de Julio de 2018 en coordinación con el CEA, para lo cual se cancelaron 32 temáticas y se incluyeron 15 temáticas nuevas quedando para ejecutar para el 2° semestre de 2018 (45) capacitaciones programadas de las cuales a 30 de Septiembre de 2018 se han ejecutado 29, es decir se ha avanzado en un 64% de ejecución.
La SSOCV se vio obligada a replantear el plan de capacitación, dadas las restricciones presupuestales y de orden legal.
Se adjunta el plan de capacitación modificado a 3° trimestre de 2018
Anexo No. 2.</t>
  </si>
  <si>
    <t xml:space="preserve">Disponible en Bog7/SSOAC
Evidencia pagina Web: 
- RAC 91, 119 y 135 - Pagina web de la Aerocivil: Proyectos de resolución, Transporte Aéreo.
Link: http://www.aerocivil.gov.co/normatividad/transporte
</t>
  </si>
  <si>
    <t>Actividad cumplida 100% El Secretario de Seguridad Aérea designo en los Coordinadores de Grupo el liderazgo de las modificaciones de las Normas a que haya lugar y se esta trabajando con base en el cronograma definido por el Grupo de Normas Aeronáuticas de la OTA.</t>
  </si>
  <si>
    <t>Avance del componente LAR AGA
De 8 proyectos de reglamentación se han entregado a la OTA  7 proyectos de normas, de los cuales 2 normas RAC 91 y RAC 119 fueron adoptados mediante resolución</t>
  </si>
  <si>
    <t xml:space="preserve">
Se informa la gestión a 3° trimestre de 2018:
1. RAC 91, fue adoptado mediante Resolución N° 01594 del 07 de Junio de 2018  
2. El  RAC 119, fue adoptado mediante Resolución N° 01593 del 07 de Junio de 2018; 
3. El  RAC 121,  se envió  el borrador del RAC 121 con copia al grupo de normas aeronáuticas mediante correo del día viernes, 22 de junio de 2018; ( Evidencia ver correo adjunto)
4. El  RAC 135,  está publicado para consulta por parte de los operadores en proyectos de resolución.  Evidencia: 
5. RAC 153,  se realizo reunión de socialización con la industria el 10 de mayo de 2018. 
6. RAC 154: Se entregaron observaciones por parte de AGA a OTA. En espera observaciones de la industria
7. RAC  139, Se entregó proyecto a la OTA, se realizo reunión de socialización con la industria el 11 de mayo de 2018. 
8. RAC 155 (Helipuertos): Se va adoptar el LAR 155, pendiente terminar su gestión para el 4° trimestre de 2018.
</t>
  </si>
  <si>
    <t>Actividad cumplida al 100% Se realizó la visita de pre-inspección para evaluar el cumplimiento de los siguientes Aeropuertos:
- Cartagena
- Bucaramanga 
- Cúcuta
Nota: En el Aeródromo Ernesto Cortissoz de Barranquilla se esta trabajando paralelamente para lograr la Certificación en el 2018.</t>
  </si>
  <si>
    <t>Actividad cumplida al 100% Se realizó el seguimiento a la implementación de las fases del proceso de certificación en los Aeropuertos a continuación relacionados: 
- Cartagena - Fase 4 y 5
- Bucaramanga - Fase 3A y 3B
- Cúcuta - Fase 3A y 3B
- Barranquilla - Fase 3A y 3B</t>
  </si>
  <si>
    <t>Pendiente para el cuarto trimestre visita a los aeropuertos de Cucuta, Bucaramanga y Barranquilla, dependiendo del resultado de la actividad anterior.</t>
  </si>
  <si>
    <t>Se elaboro y se entrego el Certificado del Aeródromo Rafael Núñez de Cartagena.</t>
  </si>
  <si>
    <t>Disponible en el Bog7 del Grupo de Gestión de Seguridad Operacional.
Pagina web Aerocivil.</t>
  </si>
  <si>
    <r>
      <t xml:space="preserve">Se realizó el seguimiento al cronograma de desarrollo de obras en los aeropuertos propuestos, así: 
- </t>
    </r>
    <r>
      <rPr>
        <b/>
        <sz val="11"/>
        <color indexed="59"/>
        <rFont val="Calibri"/>
        <family val="2"/>
      </rPr>
      <t>Cucuta:</t>
    </r>
    <r>
      <rPr>
        <sz val="11"/>
        <color indexed="59"/>
        <rFont val="Calibri"/>
        <family val="2"/>
      </rPr>
      <t xml:space="preserve"> Se solicito a la SSO el avance en el desarrollo de las actividades necesarias para el logro de la certificación 
- </t>
    </r>
    <r>
      <rPr>
        <b/>
        <sz val="11"/>
        <color indexed="59"/>
        <rFont val="Calibri"/>
        <family val="2"/>
      </rPr>
      <t>Bucaramanga:</t>
    </r>
    <r>
      <rPr>
        <sz val="11"/>
        <color indexed="59"/>
        <rFont val="Calibri"/>
        <family val="2"/>
      </rPr>
      <t xml:space="preserve"> Se solicito a la SSO el avance en el desarrollo de las actividades necesarias para el logro de la certificación
- </t>
    </r>
    <r>
      <rPr>
        <b/>
        <sz val="11"/>
        <color indexed="59"/>
        <rFont val="Calibri"/>
        <family val="2"/>
      </rPr>
      <t>Barranquilla</t>
    </r>
    <r>
      <rPr>
        <sz val="11"/>
        <color indexed="59"/>
        <rFont val="Calibri"/>
        <family val="2"/>
      </rPr>
      <t xml:space="preserve"> - Se solicito a la SSO el avance en el desarrollo de las actividades necesarias para el logro de la certificación. Pendiente por parte de la ANI y AEROCIVIL coordinar la entrega de los recursos para el desarrollo de la Obra - Calle de salida directa desde la base SEI a pista.</t>
    </r>
  </si>
  <si>
    <t>CUMP ÁREA :  94%</t>
  </si>
  <si>
    <t>Elaborar una programación anual de las capacitaciones. Cumplido 100% se adjunta Anexo No. 2.</t>
  </si>
  <si>
    <t xml:space="preserve">Se ha avanzado en la modificación al PIESO, está pendiente la definición de las temáticas del SSP que entran hacer parte de PIESO en lo que corresponde a inspectores.
Se adjunta borrador de PIESO modificado en el Anexo No. 3, 4 y 5.
Avance del 80% </t>
  </si>
  <si>
    <t>Se avanzó con la actualización de los perfiles correspondientes al Grupo de Inspección de Operaciones / Dirección Estándares de Vuelo, referentes a: ingenieros de vuelo, tripulantes de cabina de pasajeros, despachadores de aeronaves y mercancías peligrosas.
Se avanzó con la actualización de los perfiles correspondientes a los Grupos de la Dirección Estándares de Vuelo, referentes a: Grupo de Inspección de Servicios a la Navegación Aérea, Grupo Certificación de Productos Aeronáuticos y Grupo Inspección de Aeronavegabilidad
Continua en ejecución el plan de trabajo para las Secretaria de Seguridad Operacional y de la Aviación Civil y de Sistemas Operacionales
Adicionalmente, Se publicó en agosto 14  de 2018 el Estudio de  Verificación de Requisitos para el otorgamiento de encargos o nombramiento provisional en el nivel Técnico o Auxiliar que tienen asignadas funciones especificos de los servicios AIS/COM/MET grados 25, 23, 22, 21, 18, 15 y 13.
Se publicó en agosto 15 de 2018 aclaración al estudio de  verificación de requisitos para el otorgamiento de encargos o nombramiento provisional en el nivel de Inspector de Seguridad Aérea grado 27 (Perfil Piloto - Operaciones) 
Se publicó en septiembre 26 de 2018 el Estudio de  Verificación de Requisitos para el otorgamiento de encargos o nombramiento provisional de Controlador de Tránsito Aéreo Grado 25.
La información se envío a través de la cuenta de informaciondeinteres@aerocivil.gov.co y se publicó en la página web: 
http://www.aerocivil.gov.co/aerocivil/talento-humano/Paginas/Estudio-Verificacion-Requisitos.aspx</t>
  </si>
  <si>
    <t>Revisión de la propuesta y de los proyectos de Decretos de estructura, planta y nomenclatura, presentados por el profesional Freddy Suárez. Se deben efectuar ajustes de tipo jurídico a estos documentos y evaluar las propuestas ajustadas con las áreas técnicas de la entidad. Es preciso actualizar el estudio técnico a la actual normativa.
Además, se completó el análisis de toda la planta de personal 
y se elaboró informe, el cual fue presentado a la Secretaria General. Se adjuntan base elaborada y presentación explicativa.</t>
  </si>
  <si>
    <t xml:space="preserve">El plan de Bienestar ya se elaboró, se publicó en la intranet y se está ejecutando. En cuanto al Plan de incentivos el proyecto de resolución ha sido  revisado detenidamente por la Secretaría General y la Dirección de Talento Humano. 
El texto fue ajustado por el Grupo de Bienestar Social y espera ser aprobado y socializado en el último trimestre del año. </t>
  </si>
  <si>
    <t>Se realizó reunión el 3 de julio de 2018 con el CEA a fin de establecer los lineamientos para la formulación y estructuración del PIC 2019.
 El 18 de julio de 2018 se realizó  reunión con Informática para iniciar la construcción de los formatos “Diagnóstico de Necesidades de Aprendizaje Organizacional (DNAO)” e “Información sobre Pre-registro para capacitación" los cuales deben ser diligenciados por las áreas a través de la INTRANET.
Se entregó por parte de Informática el link sobre PIC 2019 en la Intranet para el diligenciamiento de los  los formatos “Diagnóstico de Necesidades de Aprendizaje Organizacional (DNAO)” e “Información sobre Pre-registro para capacitación". 
Se remitió a las áreas  circular sobre el PIC 2019 con plazo de diligenciamiento hasta el 31 de agosto de 2018.
En septiembre 12 de 2018 por informaciondeinteres@aerocivil.gov.co, se comunió acerca de la ampliación del plazo para el diligenciamiento del diagnóstico de necesidades del PIC 2019, el cual finalizaba el 28 de septiembre de 2018.</t>
  </si>
  <si>
    <t xml:space="preserve">Se elaboró comunicación reiterando la solicitud  de reporte de avance  de gestión a corte 10 de agosto de 2018. Se remitió a la Secretaria de Sistemas Operacionales los soportes de todos los hallazgos identificados por inspecciones. La Dirección de Aeronavegación presentó  a nivel nacional un proyecto, (manera de ejemplo Regional Valle) 
para que sirva de metodología a evaluar e ir implementando progresivamente. </t>
  </si>
  <si>
    <t>El equipo de brigadistas del CGAC recibio varias capacitaciones, se coordinó realización de pista de entrenamiento.</t>
  </si>
  <si>
    <t xml:space="preserve">El día 27 de agosto se tiene el primer contacto con el nuevo consultor de COLPENSIONES, quien aclaró que las correcciones a que haya lugar no se pueden tramitar directamente en el portal, sino a través de oficio dirigido a la Dirección de historias laborales y que el proceso de corrección puede tardar más de un mes para reflejarse en sistema.
3 de septiembre de 2018 con ADI 2018038732 se solicita corregir transacción 83C20025714111. Al cierre del mes, la novedad continúa sin corrección.
COLPENSIONES. Lo anterior es un proceso que tarda hasta 30 días hábiles para reflejar la disminución de la deuda en el portal.
Finalizado el  mes de septiembre la deuda presunta va en $2,177,482,387,
</t>
  </si>
  <si>
    <t xml:space="preserve">BOG7-Secretaria General - 3200 Administrativa / 2018 Plan de Acción </t>
  </si>
  <si>
    <t>CONOCER LA ESTRUCTURA DEL GOBIERNO DIGITAL</t>
  </si>
  <si>
    <t xml:space="preserve">PLANEACIÓN DE LA IMPLEMENTACIÓN DE LA DIMENSIÓN </t>
  </si>
  <si>
    <t>EJECUCIÓN DE LA POLITICA CON TODOS SUS ELEMENTOS</t>
  </si>
  <si>
    <t xml:space="preserve">SEGUIMENTO </t>
  </si>
  <si>
    <t xml:space="preserve"> REALIZÓ EL DIAGNÓSTICO CON BASE EN EL INVENTARIO DE ELEMENTOS TECNICOS CONQUE CUENTA LA ENTIDAD CON MIRAS A FORMULAR LA ARQUITECTURA EMPRESARIAL DE LA ENTIDAD</t>
  </si>
  <si>
    <t>SE TIENE DEFINIDA LA MANERA COMO LA ENTIDAD ABORDARÁ LA IMPLEMENTACIÓN DE LA POLITICA DE GOBIERNO DIGITAL CONFORME CON EL DECRETO 1008 DE JUNIO 14DE 2018</t>
  </si>
  <si>
    <t>SE CUMPLIRÁ UNA VEZ EL COMITÉ INSTITUCIONAL DE GESTION Y DESEMPEÑO ESTABLEZCA LOS LINEAMIENTOS DE ACCIÓN ACORDE CON EL DECRETO  1008</t>
  </si>
  <si>
    <t>COMPONENTE 3 RENDICIÓN DE CUENTAS (PARCIAL)</t>
  </si>
  <si>
    <t>TRANSPARENCIA Y ACCESO A LA INFORMACIÓN PUBLICA</t>
  </si>
  <si>
    <t>CÓDIGO DE INTEGRIDAD</t>
  </si>
  <si>
    <t>SE ELABORÓ, ADOPTO, PUBLICO Y SOCIALIZÓ EL CÓDIGO DE INTEGRIDAD</t>
  </si>
  <si>
    <t xml:space="preserve">SE REALIZÓ LA CLASIFICACIÓN DE LA INFORMACIÓN CON QUE CUENTA LA ENTIDAD ENCONTRANDOSE EN REVISIÓN POR LA OFICINA ASESORA JURIDIDCA DE LA CLASIFICACIÓN PARA EFECTOS DE ESTABLECER LOS MECANISMOS DE DIVULGACIÓN Y LOS CONTROLES PARA AQUELLA QUE SEA RESERVADA </t>
  </si>
  <si>
    <t>MEJORAMIENTO A LA ATENCIÓN AL CIUDADANO</t>
  </si>
  <si>
    <t xml:space="preserve">Bog7/arquitectura empresarial/5 fase cierre. 
Consultoría del proyecto Gobierno TI y Gestión TI. </t>
  </si>
  <si>
    <t>Articular con el doctor Carlos Morales, conforme la evaluación llevada a cabo</t>
  </si>
  <si>
    <t>www.aerocivil.gov.co/direcciontalentohumano/codigointegridad</t>
  </si>
  <si>
    <t xml:space="preserve">Se realiza seguimiento en comité directivo para lo cual queda registrado en las actas realizadas por el Grupo de Calidad. </t>
  </si>
  <si>
    <t xml:space="preserve">ACTIVIDAD CUMPLIDA 100% EN EL PRIMER TRIMESTRE </t>
  </si>
  <si>
    <t xml:space="preserve">Esta actividad era solo para el trimestre. </t>
  </si>
  <si>
    <t xml:space="preserve">Para el Seguimiento, el área realiza el registro del cronograma en el segundo trimestre. </t>
  </si>
  <si>
    <t>Proyecto de la resolución radicado en el Despacho del director General para su firma.</t>
  </si>
  <si>
    <t>Se culmina el tramite en el cuarto trimestre, pendiente Resolución por firma</t>
  </si>
  <si>
    <t>Se evidenciaria por parte dela OAP el avance de esta nueva actividad frente al % que se dio la misma área</t>
  </si>
  <si>
    <t>CUMP OAP:  100%</t>
  </si>
  <si>
    <t>Mapa de Riesgos de Corrupción publicado a 31 de marzo de 2016</t>
  </si>
  <si>
    <t>24 Procesos con Riesgos de Gestión  revisados y actualizados</t>
  </si>
  <si>
    <t xml:space="preserve">6 Procesos  con indicadores de gestión revisados y actualizados </t>
  </si>
  <si>
    <t>De cinco (5) Manuales, se actualizaron 3. Manual de Calidad- Manuales de Documentación Capitulos I,II y Procedimeinto de mejora, los otros dos manuales se inactivaron porque ya no aplican.</t>
  </si>
  <si>
    <t>Se finalizo la  actualizaciones a las tablas básicas, sobre la Versión 3,6 del aplicativo  ISOLUCION   que   tiene implementada la entidad,  no se realizaran desarrollos adicionales. La AEROCIVIL dispuso la migración a la versión 4,8, ultima desarrollada por la firma ISOLUCION, su instalación está dispuesta segun  cronograma para iniciar el 15 de noviembre de 2018.</t>
  </si>
  <si>
    <t>Se actualizo la arquitectura del  Mapa de Procesos y sus despliegue de procesos.</t>
  </si>
  <si>
    <t>Se terminó la actualización de las 33 cartas de proceso y  su articulación desde el Mapa de Proceso de la Entidad.</t>
  </si>
  <si>
    <t>Compromiso cumplido</t>
  </si>
  <si>
    <t>Pubicación 31  enero de 21018 - Socializacion del 7 al 20 de enero de 2018 (Corrupción - cumplida).  100%
Gestión el avance es que va el 90%</t>
  </si>
  <si>
    <t>Cronograma de instalacion version 4,8 de isolución - Dirección de Informatica.
Bog7 : Documentos de apoyo - Administración del sistema (correo)</t>
  </si>
  <si>
    <t>Previsto para el cuatro trimestre 2018 (Incluido 31 de diciembre de 2018)</t>
  </si>
  <si>
    <t>CUMPL OAP :   100%</t>
  </si>
  <si>
    <t>22,0% 
(68,1% Compromisos)</t>
  </si>
  <si>
    <t>21,2%
(46,4% Obligaciones)</t>
  </si>
  <si>
    <t xml:space="preserve">22,0% 
</t>
  </si>
  <si>
    <t xml:space="preserve">21,2%
</t>
  </si>
  <si>
    <t>POND 3R TRIM</t>
  </si>
  <si>
    <t>A pesar de envio de correo, la subdirección no se pronuncia al respecto.</t>
  </si>
  <si>
    <t>OCI  : 2,6%</t>
  </si>
  <si>
    <t>METAS CUMPLIDAS III TRIMESTRE</t>
  </si>
  <si>
    <r>
      <t xml:space="preserve">A septiembre 30 de 2018 de un total de 16 proyectos considerados estrategicos, se realizarán 11 C=2; N=3;S=2;MET=3;Energía=1).
</t>
    </r>
    <r>
      <rPr>
        <b/>
        <sz val="8"/>
        <color indexed="8"/>
        <rFont val="Calibri"/>
        <family val="2"/>
      </rPr>
      <t>COMUNICACIONES</t>
    </r>
    <r>
      <rPr>
        <sz val="8"/>
        <color indexed="8"/>
        <rFont val="Calibri"/>
        <family val="2"/>
      </rPr>
      <t xml:space="preserve">
Mantener y ampliar la red VHF/ microondas y sistemas de información aeronáutica - ((PE/PP)*0.3); número de proyectos 2;ADQUISICION, INSTALACION Y PUESTA EN SERVICIO DE RADIO ENLACES MICROONDAS A NIVEL NACIONALADQUISICIÓN, INSTALACIÓN Y PUESTA EN FUNCIONAMIENTO DE EQUIPOS PARA LA AMPLIACIÓN DE LA CAPACIDAD DE LOS ENLACES DE MICROONDAS DE LAS REDES 16, 17, 56 y 127 Y ADQUISICIÓN, INSTALACIÓN Y PUESTA EN SERVICIO DE SISTEMAS EQUIPOS DE COMUNICACIONES (RADIOENLACES POR MICROONDAS CGAC – CERRO EL TABLAZO, CGAC – CERRO MANJUI, CGAC – CERRO EL ROSAL, CGAC – SKGY, CGAC – CERRO LA VIGA y CERRO EL TABLAZO – CERRO MANJUI).
Adjudicado Contrato 18000796 H2 $1,766,447,779
Compra terminales  Sistema de información aeronáutica AMHS
En la Dirección Administrativa  $369.056.509
</t>
    </r>
    <r>
      <rPr>
        <b/>
        <sz val="8"/>
        <color indexed="8"/>
        <rFont val="Calibri"/>
        <family val="2"/>
      </rPr>
      <t xml:space="preserve">NAVEGACION
</t>
    </r>
    <r>
      <rPr>
        <sz val="8"/>
        <color indexed="8"/>
        <rFont val="Calibri"/>
        <family val="2"/>
      </rPr>
      <t xml:space="preserve">Adquisición Instlación y puesta en funcionamiento de DVOR CLO
PROCESO 18000902 REVOCADO CON RESOLUCION 1918 DEL 05 DE JULIO
“ADQUISICIÓN, INSTALACIÓN Y PUESTA EN SERVICIO DE TRES SISTEMAS DVOR/DME PARA LOS AEROPUERTOS DE MARIQUITA, VALLEDUPAR Y CALI.”, fue publicado el día 16 DE OCTUBRE  en el SECOP II con el número de proceso 18001449 H2 
Adquisición Instlación y puesta en funcionamiento de DVOR VVO
Contrato 18000850
$3,400,000,0000
Adjudicado a INDRA
En Ejecución
Acta de inicio 10 de septiembre 
finaliza 31 de diciembre de 2018
ACTUALIZACION DVOR/DME ZIPAQUIRA
Contrato 18000765
$2,650,000,000
Adjudicado a INDRA 
En ejecución
Acta de inicio 12 de septiembre 
Finaliza 31 de diciembre 
</t>
    </r>
  </si>
  <si>
    <r>
      <rPr>
        <b/>
        <sz val="8"/>
        <color indexed="8"/>
        <rFont val="Calibri"/>
        <family val="2"/>
      </rPr>
      <t>VIGILANCIA</t>
    </r>
    <r>
      <rPr>
        <sz val="8"/>
        <color indexed="8"/>
        <rFont val="Calibri"/>
        <family val="2"/>
      </rPr>
      <t xml:space="preserve">
Adquisición y puesta en funcionamiento de los sistemas ADS-B y sistemas radar SSR -((PE/PP)*0.2); número de proyectos 2 ACTUALIZACION SISTEMA RADAR SECUNDARIO CALI
ESTE PROYECTO TIENE UN COSTO DE $4.145.847.758M ILLONES, DE LA PRESENTE VIGENCIA SE ASIGNARON $1.695.599.012 MILLONES EL RESTANTE SE ESTA TRAMITANDO VF.YA CUENTA CON CDP Y LOS PLIEGOS ESTAN EN REVISION. ACTUALIZADO EN EL PAA ULTIMA VERSION
</t>
    </r>
    <r>
      <rPr>
        <b/>
        <sz val="8"/>
        <color indexed="8"/>
        <rFont val="Calibri"/>
        <family val="2"/>
      </rPr>
      <t>METEOROLOGIA</t>
    </r>
    <r>
      <rPr>
        <sz val="8"/>
        <color indexed="8"/>
        <rFont val="Calibri"/>
        <family val="2"/>
      </rPr>
      <t xml:space="preserve">
SISTEMAS AWOS CAT I: ADQUISICIÓN, INSTALACIÓN, INTEGRACIÓN Y PUESTA EN FUNCIONAMIENTO DE SISTEMAS METEOROLÓGICOS AERONÁUTICOS (ESTACIÓN METEOROLÓGICA AUTOMÁTICA DE SUPERFICIE (EMAS), SISTEMA DE VIENTOS, EQUIPO MEDIDOR DE ALCANCE VISUAL EN PISTA, EQUIPO MEDIDOR TECHO DE NUBES)
YA CUENTA CON CDP EN TRAMITE DE VF
ADQUISICIÓN, INSTALACION Y PUESTA EN FUNCIONAMIENTO DE UN SISTEMA RADAR METEOROLOGICO BANDA C
YA CUENTA CON CDP EN TRAMITE DE VF
ADQUISICIÓN, INSTALACIÓN, INTEGRACIÓN Y PUESTA EN SERVICIO DE UN SISTEMA DE RECEPCIÓN DEL SATÉLITE GEOESTACIONARIO AMBIENTAL OPERACIONAL GOES-R  Contrato 18000658 H2
$1.833.000.000
UT IMÁGENES R
En ejecucion
</t>
    </r>
    <r>
      <rPr>
        <b/>
        <sz val="8"/>
        <color indexed="8"/>
        <rFont val="Calibri"/>
        <family val="2"/>
      </rPr>
      <t>ENERGIA</t>
    </r>
    <r>
      <rPr>
        <sz val="8"/>
        <color indexed="8"/>
        <rFont val="Calibri"/>
        <family val="2"/>
      </rPr>
      <t xml:space="preserve">
ADQUISICIÓN, INSTALACIÓN Y PUESTA EN FUNCIONAMIENTO DE BANDAS TRANSPORTADORAS MONOPLANARES Y CINTAS DE EQUIPAJES PARA LOS AEROPUERTOS ALFONSO VÁSQUEZ COBO DE LA CIUDAD DE LETICIA Y ANTONIO NARIÑO DE LA CIUDAD DE PASTO
Adjudicado Contrato 1800814 H2
43.213.464.576
BEUMER GROUP
En ejecución
Finaliza 28 de diciembre de 2018
</t>
    </r>
  </si>
  <si>
    <r>
      <t xml:space="preserve">El área propone ajustar actividades a partir del  tercer trimestre, para que esten  acorde con la normatividad vigente. Se evalua la gestión realizada frente a la  Política de Transparencia, acceso a la información pública y lucha contra la corrupción de mipg. Pendiente conformación Comité Institucional de Gestión y Desempeño. </t>
    </r>
    <r>
      <rPr>
        <sz val="11"/>
        <color indexed="62"/>
        <rFont val="Calibri"/>
        <family val="2"/>
      </rPr>
      <t>Se solicitara al area cronograma de las nuevas actividades incluyendo el avance dado por el área para este trimestre septiembre.</t>
    </r>
  </si>
  <si>
    <t xml:space="preserve">CUARTO TRIMESTRE </t>
  </si>
  <si>
    <t>CUARTO TRIMESTRE</t>
  </si>
  <si>
    <t>CUARTO  TRIMESTRE</t>
  </si>
  <si>
    <t>CUARTO   TRIMESTRE</t>
  </si>
  <si>
    <t>Oficio ADI 4108.103-2018028470 fecha 10 de septiembre de 2018
Oficio ADI 4108.104-2018041405 fecha 12 de diciembre de 2018
Oficio ADI 4108.103-2018042590 fecha 19 de diciembre, reiterando lo solicitado en el oficio 4108.103-2018028470 sobre la necesidad de establecer el proceso de certifcación por parte de la SSOAC y las caracteristicas tecnicas por parte de la SSO</t>
  </si>
  <si>
    <t xml:space="preserve">El manual AIDC  esta elaborado en el  100%, pendiente subir a ISOLUCIÓN  para socialización, en cuanto a su implementación esta en fase preoperacional y se espera pasar a fase operacional en el primer trimestre de 2019 dependiendo de los avances técnicos operacionales en los paises como Panamá, Perú y Ecuador.                                                                   
Perú esta solcitando la suspensión de las pruebas preoperacionales ante la necesidad de revisar la carta de acuerdo, ya que se ha presentado  eventos de seguridad en el punto de puerto leguizamo, la revisión a esta carta de acuerdo se hará en el mes de enero y se espera retomar las pruebas preoperacionales  a partir de febrero de 2019 del AIDC.
Para Barranquilla se espera tenerlo implementado para enero de 2019.
el manual A-SMGCS esta elaborado en el 100%, para la implementación la actualización  del plano de aerodromo en el sistema Nova (dir teleco) de acuerdo a lo informado por INDRA se realizará en enero 2019 y para la definición  del tipo de transponder  que se debe utilizar en los vehiculos  que circulan por área de maniobras ( DSSA)  se envio oficio a la SSOAC y a la SSO solicitando se defina el proceso de certifcación y las caracteristicas tecnicas del equipo ,  la implemetación depende  del cumplimiento de los pendientes señalados </t>
  </si>
  <si>
    <t>LAS ACTIVIDADES SE ENCUENTRAN CUMPLIDAS (ELABORACIÓN DE MANUALES), SIN EMBARGO NO SE PUEDE IMPLEMENTAR PORQUE DEPENDE DE TERCEROS. LA IMPLENTACIÓN NO SE CUMPLE ESTE AÑO, SERÁ TRABAJADA PARA CUMPLIRSE EN EL AÑO 2019</t>
  </si>
  <si>
    <t>AMDT AIP 55 (6 DIC / 2018) (SKCL, SKCG, SKSP)</t>
  </si>
  <si>
    <t xml:space="preserve">Por necesidades de operación en definitiva se implementó en: Barranquilla, Cali, Cartagena, San Andres.                                                                                              </t>
  </si>
  <si>
    <t xml:space="preserve">SE CUMPLIO CON 4 AEROPUERTOS EN 2018                                                                 </t>
  </si>
  <si>
    <t>SKBG BORRADORES EN CARPETA SIG-AIS</t>
  </si>
  <si>
    <t>SKBG, SKRH, SKRG, SKCC                                                           Bucaramanga se adelantó en un 70% para publicar en primer trimestre de 2019.    
Riohacha cumplio el 100%.
Pendiente Rionegro (adelanto de análisis y borradores).
Cúcuta se efectúa análisis inicial con área operacional ATC SKCC para implementar en 2019</t>
  </si>
  <si>
    <t>CARTA DE ACUERDO SISTEMA ISOLUCIÓN
SUPLEMENTO A26 C58 / OCT 2018</t>
  </si>
  <si>
    <t>Se elaboró carta de acuerdo operacional para el uso flexible del espacio aéreo SKR-10</t>
  </si>
  <si>
    <t>Se implemento ruta UP776
En concordancia con compromiso internacional OACI Regional LIMA se implementaron rutas RNAV 5 y se eliminaron rutas convencionales.</t>
  </si>
  <si>
    <t>Mantener la posición  actualizada en FCMU. En el mes de Diciembre se realizó la Mini Conferencia Slot Colombia, en el cual se realizó la programación de las citas asignadas a las aerolíneas, para la coordinación de slot temporada S19</t>
  </si>
  <si>
    <t xml:space="preserve"> En proceso de verificación y revisión final para la legalización del documento Concepto Operacional ATFCM para Colombia</t>
  </si>
  <si>
    <t>Bog7 K 4110 - AIM- 2018</t>
  </si>
  <si>
    <t>La carga inicial ya se encuentra en la herramienta, se finalizo la capacitación con el proveedor de la herramienta.</t>
  </si>
  <si>
    <t>Los Niveles de Acuerdo de Servicio se envian a revisión de la parte legal.</t>
  </si>
  <si>
    <t>Posterior al concepto operacional, proyecto adquisción SWIM</t>
  </si>
  <si>
    <t>para el cumplimiento de esta actividad se programaron actividades tendientes a la modernización y prestación del servicio de Vigilancia  durante el año 2018 del 27% y como avance en  la vigencia del 26,7%</t>
  </si>
  <si>
    <t>para el cumplimiento de esta actividad se programaron actividades tendientes a la modernización y prestación del servicio SEI  durante el  año 2018 del 27% y como avance de la vigencia 23,5%</t>
  </si>
  <si>
    <t>para el cumplimiento de esta actividad se programaron actividades tendientes a la modernización y prestación del servicio Ambiental  durante el  III trimestre del 26% y como avance de la vigencia 25,8%</t>
  </si>
  <si>
    <t>para el cumplimiento de esta actividad se programaron actividades tendientes a la modernización y prestación del Servicio Medico  durante el  año 2018 del 15% y como avance de la vigencia 13,5%</t>
  </si>
  <si>
    <t>para el cumplimiento de esta actividad que tiene un peso del 5% del compromiso, se programaron actividades tendientes a la modernización y prestación del servicio de operaciones aeroportuarias  5% y como avance de la vigencia 3%.  El avance es poco debido a que no se han autorizado viaticos para el desplazamiento de los aeropuertos para su comprobación</t>
  </si>
  <si>
    <t>Este promedio tiene que se el ponderado</t>
  </si>
  <si>
    <t>META CUMPLIDA:1</t>
  </si>
  <si>
    <t>Compromiso enfocado a contar con la prestación del servicio a través de la contratación del mismo</t>
  </si>
  <si>
    <t>El plan de Bienestar ya se elaboró, se publicó en la intranet y se está ejecutando. En cuanto al Plan de incentivos  se  Aprobó y  publicó mediante  
Resolución No. 3242 de octubre de 2018 
“Por medio del cual se adopta el Programa Institucional de Incentivos en el marco del  Programa de Bienestar Social e Incentivos  para los empleados de la Unidad Administrativa Especial de Aeronáutica Civil y se dictan otras disposiciones”</t>
  </si>
  <si>
    <t>está publicado?</t>
  </si>
  <si>
    <t>cumplida</t>
  </si>
  <si>
    <t>K:\4602-Supervision Ctrl Proy Inf Aerop\2018\INFORMES DE CONTRATOS Y CONVENIOS</t>
  </si>
  <si>
    <t>CUMP ÁREA:  97,65%</t>
  </si>
  <si>
    <t>adjuntan archivo soporte de medición</t>
  </si>
  <si>
    <t xml:space="preserve">De 47 proyectos presentados por la areas DITEL, DIA y DSA se verifico que todos  estuvieran articulados con el PNA PAA  </t>
  </si>
  <si>
    <t>CUMP ÁREA  :  98%</t>
  </si>
  <si>
    <t>Se viablizaron dejando radicados en la Dirección Administrativa 42  proyectos que presentaron las areas despues de correcciones y acompañamiento por parte del GGPA. Los 2 proyectos restantes se revocaron en el proceso de revisión (ASAE, SANTA MARTA)</t>
  </si>
  <si>
    <t>CUMPLIDO AL 100%</t>
  </si>
  <si>
    <t>No se realizaron actividades por parte del Ministerio de Transporte como responsable de la elbaoración del PMTI</t>
  </si>
  <si>
    <t xml:space="preserve">
Elaboración de Procedimiento de Actualización del  PNA, actualmente en revisión de observaciones por parte de la Ingeniera Nibia Morales y Grupo Planificación Aeroportuaria </t>
  </si>
  <si>
    <t xml:space="preserve">Por decisión de la Dirección General y la Oficina Asesora de Planeación OAP,  se decidió que los proyectos de actualización  de Planes Maestros se aplazaran para ser ejecutados en la vigencia de 2019 , por consiguiente se da por cumplido de este proyecto ( Nororiente, El Dorado), entre otros. </t>
  </si>
  <si>
    <t>ESTA  META NO LA VAN A REALIZAR</t>
  </si>
  <si>
    <t>CUMP ÁREA  :  95%</t>
  </si>
  <si>
    <t xml:space="preserve">cumplido periodo anterior </t>
  </si>
  <si>
    <t xml:space="preserve">En Excel, se han registrado, organizado y clasificado 3600  reportes aproximadamente (entre eventos 65% y peligros de seguridad operacional 34%) .  </t>
  </si>
  <si>
    <t xml:space="preserve">En ISOLUCION está el procedimiento de reporte unificado de Peligros y Eventos de seguridad operacional GDIR-1.0-06-027 y formato reporte GDIR-1.0-12-015. En borrador instructivo para operación SDCPS. 
</t>
  </si>
  <si>
    <t xml:space="preserve">
El Manual SMS establece la orientación de cómo se debe hacer promoción en materia de SMS y de Seguridad Operacional. Es por ello que se ha inciado varios frentes de trabajo para el 2019 con el CEA ( para acordar plan de trabajo y rediseñar el entrenamiento en materia de SMS y SO), con OCI (para auditoria interna con alcance y criterios de seguridad operacional), con DTH y con la OCeI. </t>
  </si>
  <si>
    <t xml:space="preserve">Realizado el lanzamiento de la primera versión del Manual SMS, el 15 noviembre de 2018, por parte del Director General y el SSO en el auditorio CEA. Invitados todos los servidores de la Entidad a través de canal youtube. 
Se han enviado al Grupo Prensa tres grupos de TIPS  para incluir en la campaña AEROEDUCANDO, integrando el PNA COL y SMS. 
Se realizó la reinducción, 8 repeticiones entre nov y dic 2018 en coordinación con la DTH, con resultados satisfactorios. 
Se realizaró inducción a nivel directivo en sep 2018. </t>
  </si>
  <si>
    <t xml:space="preserve">Distribuidos los reportes a las Direcciones responsables: DSNA, DSA, DIA y DTEL. Aproximadamente 3500 registros fueron organizados, claisficados para una primera evaluación entre abierto (los que todavía están en proceso) y cerrados (los reportes que ya fueron atendido completamente). </t>
  </si>
  <si>
    <t xml:space="preserve">Se han enviado al Grupo Prensa, tres grupos de TIPS adicionales,  para incluir en la campaña AEROEDUCANDO, integrando el PNA COL y SMS. 
Se incluyo el SMS y SO en la inducción y reinducción institiucional 2018. </t>
  </si>
  <si>
    <t xml:space="preserve">Teniendo en cuenta que el SMS afecta a todos los procesos de la Entidad, en particular a los misiones de proveedor de servicios a la navegación aérea y servicios aeroportuarios, el Manual SMS es un documento del proceso GDIR1.0 Direccionamiento estratégico. Los isntructivos que guian la implementación se registraran igualmente en este proceso.  El Comité alto nivel SMS requerido, se ha integrado al Comite Directivo sesionando con agenda del SMS. El comité fue convocado por la OAP  para el 17 dic 2018. </t>
  </si>
  <si>
    <t>META CUMPLIDA:5</t>
  </si>
  <si>
    <t xml:space="preserve">La estadística se genera a través de la herramienta SIGMA, de manera dinámica y en tiempo real, utilizandolá para la toma de decisiones. Adicionalmente, se exporta a un  un archivo en excel para facilidad de consulta para quienes no tengan acceso a la herramienta. Para el IV trimestre fueron  abiertas 1842 OT¨S  y fueron cerradas 1.523 OT´S.
Se cumplio al 100% con el compromiso asignado </t>
  </si>
  <si>
    <t>Cumplido al 100% en el III Trimestre</t>
  </si>
  <si>
    <t xml:space="preserve">El grupo de Proyectos  termino de revisar que cada proyecto de la vigencia 2018 radicado en la SSO cumpliera  con  en el formato de etapas de ordenacion del Gasto de los Proyectos de inversion para la solicitud del CDP,se verifico que  los  proyectos se  encuentraran en el PAA y en el PNA , de no cumplir   se devuelve a la direccion correspondiente para actualizar o corregirlo 
Se cumplio al 100% con esta actividad y asi  lograr las metas del PNA a nivel de aplicabilidad de los proyectos registrados en el PNA y PAA segun ejecucion presupuestal  </t>
  </si>
  <si>
    <t xml:space="preserve">Se continuo con la medicion de los ASBUS cumpliendon con las metas suscritas en el PNA , </t>
  </si>
  <si>
    <t>Se continua con la revision de las metas del PNA  , se elaboro el procedimiento para la actualizacion del PNA el cual esta en revision para su aprobacion y socializacion</t>
  </si>
  <si>
    <t>CUMP ÁREA : 95%</t>
  </si>
  <si>
    <r>
      <t xml:space="preserve">A diciembre 27 de 2018 de un total de 16 proyectos considerados estrategicos, se realizarán 11 C=2; N=3;S=2;MET=3;Energía=1).
</t>
    </r>
    <r>
      <rPr>
        <b/>
        <sz val="8"/>
        <color indexed="8"/>
        <rFont val="Calibri"/>
        <family val="2"/>
      </rPr>
      <t>COMUNICACIONES</t>
    </r>
    <r>
      <rPr>
        <sz val="8"/>
        <color indexed="8"/>
        <rFont val="Calibri"/>
        <family val="2"/>
      </rPr>
      <t xml:space="preserve">
Mantener y ampliar la red VHF/ microondas y sistemas de información aeronáutica - ((PE/PP)*0.3); número de proyectos 2;ADQUISICION, INSTALACION Y PUESTA EN SERVICIO DE RADIO ENLACES MICROONDAS A NIVEL NACIONALADQUISICIÓN, INSTALACIÓN Y PUESTA EN FUNCIONAMIENTO DE EQUIPOS PARA LA AMPLIACIÓN DE LA CAPACIDAD DE LOS ENLACES DE MICROONDAS DE LAS REDES 16, 17, 56 y 127 Y ADQUISICIÓN, INSTALACIÓN Y PUESTA EN SERVICIO DE SISTEMAS EQUIPOS DE COMUNICACIONES (RADIOENLACES POR MICROONDAS CGAC – CERRO EL TABLAZO, CGAC – CERRO MANJUI, CGAC – CERRO EL ROSAL, CGAC – SKGY, CGAC – CERRO LA VIGA y CERRO EL TABLAZO – CERRO MANJUI).
Adjudicado Contrato 18000796 H2 $1,766,447,779
Compra terminales  Sistema de información aeronáutica AMHS
En la Dirección Administrativa  $369.056.509
</t>
    </r>
    <r>
      <rPr>
        <b/>
        <sz val="8"/>
        <color indexed="8"/>
        <rFont val="Calibri"/>
        <family val="2"/>
      </rPr>
      <t xml:space="preserve">NAVEGACION
</t>
    </r>
    <r>
      <rPr>
        <sz val="8"/>
        <color indexed="8"/>
        <rFont val="Calibri"/>
        <family val="2"/>
      </rPr>
      <t xml:space="preserve">Adquisición Instlación y puesta en funcionamiento de DVOR CLO
PROCESO 18000902 REVOCADO CON RESOLUCION 1918 DEL 05 DE JULIO
“ADQUISICIÓN, INSTALACIÓN Y PUESTA EN SERVICIO DE TRES SISTEMAS DVOR/DME PARA LOS AEROPUERTOS DE MARIQUITA, VALLEDUPAR Y CALI.”
</t>
    </r>
    <r>
      <rPr>
        <sz val="8"/>
        <color indexed="8"/>
        <rFont val="Arial"/>
        <family val="2"/>
      </rPr>
      <t xml:space="preserve">DVOR VALLEDUPAR ADJUDICADO A CONSORCIO VMC
DVOR MARIQUITA ADJUDICADO A GECI ESPAÑOLA
DVIR CALI ADJUDICADO A RAPIDEXXUS
CONTRATOS EN EJECUCION 
              </t>
    </r>
    <r>
      <rPr>
        <sz val="8"/>
        <color indexed="8"/>
        <rFont val="Calibri"/>
        <family val="2"/>
      </rPr>
      <t xml:space="preserve">
Adquisición Instlación y puesta en funcionamiento de DVOR VVO
Contrato 18000850
$3,400,000,0000
Adjudicado a INDRA
En Ejecución
Acta de inicio 10 de septiembre 
finaliza 31 de diciembre de 2018 </t>
    </r>
    <r>
      <rPr>
        <sz val="8"/>
        <color indexed="8"/>
        <rFont val="Arial"/>
        <family val="2"/>
      </rPr>
      <t>SE SOLICITÓ PRORROGA</t>
    </r>
    <r>
      <rPr>
        <sz val="8"/>
        <color indexed="8"/>
        <rFont val="Calibri"/>
        <family val="2"/>
      </rPr>
      <t xml:space="preserve">
ACTUALIZACION DVOR/DME ZIPAQUIRA
Contrato 18000765
$2,650,000,000
Adjudicado a INDRA 
En ejecución
Acta de inicio 12 de septiembre 
Finaliza 31 de diciembre </t>
    </r>
    <r>
      <rPr>
        <sz val="8"/>
        <color indexed="8"/>
        <rFont val="Arial"/>
        <family val="2"/>
      </rPr>
      <t>SE SOLICITÓ PRORROGA</t>
    </r>
    <r>
      <rPr>
        <sz val="8"/>
        <color indexed="8"/>
        <rFont val="Calibri"/>
        <family val="2"/>
      </rPr>
      <t xml:space="preserve">
</t>
    </r>
  </si>
  <si>
    <r>
      <rPr>
        <b/>
        <sz val="8"/>
        <color indexed="8"/>
        <rFont val="Calibri"/>
        <family val="2"/>
      </rPr>
      <t>VIGILANCIA</t>
    </r>
    <r>
      <rPr>
        <sz val="8"/>
        <color indexed="8"/>
        <rFont val="Calibri"/>
        <family val="2"/>
      </rPr>
      <t xml:space="preserve">
Adquisición y puesta en funcionamiento de los sistemas ADS-B
ADJUDICADO A AIRAVATA
ACTUALIZACION SISTEMA RADAR SECUNDARIO CALI
ESTE PROYECTO TIENE UN COSTO DE $4.145.847.758M ILLONES, DE LA PRESENTE VIGENCIA SE ASIGNARON $1.695.599.012 MILLONES EL RESTANTE SE ESTA TRAMITANDO VF.YA CUENTA CON CDP Y LOS PLIEGOS ESTAN EN REVISION. ACTUALIZADO EN EL PAA ULTIMA VERSION
</t>
    </r>
    <r>
      <rPr>
        <b/>
        <sz val="8"/>
        <color indexed="8"/>
        <rFont val="Calibri"/>
        <family val="2"/>
      </rPr>
      <t>METEOROLOGIA</t>
    </r>
    <r>
      <rPr>
        <sz val="8"/>
        <color indexed="8"/>
        <rFont val="Calibri"/>
        <family val="2"/>
      </rPr>
      <t xml:space="preserve">
SISTEMAS AWOS CAT I: ADQUISICIÓN, INSTALACIÓN, INTEGRACIÓN Y PUESTA EN FUNCIONAMIENTO DE SISTEMAS METEOROLÓGICOS AERONÁUTICOS (ESTACIÓN METEOROLÓGICA AUTOMÁTICA DE SUPERFICIE (EMAS), SISTEMA DE VIENTOS, EQUIPO MEDIDOR DE ALCANCE VISUAL EN PISTA, EQUIPO MEDIDOR TECHO DE NUBES)
ADJUDICADO A AEROEMAS - 1 
ADQUISICIÓN, INSTALACION Y PUESTA EN FUNCIONAMIENTO DE UN SISTEMA RADAR METEOROLOGICO BANDA C
LICITACION DECLARADA DESIERTA
ADQUISICIÓN, INSTALACIÓN, INTEGRACIÓN Y PUESTA EN SERVICIO DE UN SISTEMA DE RECEPCIÓN DEL SATÉLITE GEOESTACIONARIO AMBIENTAL OPERACIONAL GOES-R  Contrato 18000658 H2
$1.833.000.000
UT IMÁGENES R
En ejecucion
</t>
    </r>
    <r>
      <rPr>
        <b/>
        <sz val="8"/>
        <color indexed="8"/>
        <rFont val="Calibri"/>
        <family val="2"/>
      </rPr>
      <t>ENERGIA</t>
    </r>
    <r>
      <rPr>
        <sz val="8"/>
        <color indexed="8"/>
        <rFont val="Calibri"/>
        <family val="2"/>
      </rPr>
      <t xml:space="preserve">
ADQUISICIÓN, INSTALACIÓN Y PUESTA EN FUNCIONAMIENTO DE BANDAS TRANSPORTADORAS MONOPLANARES Y CINTAS DE EQUIPAJES PARA LOS AEROPUERTOS ALFONSO VÁSQUEZ COBO DE LA CIUDAD DE LETICIA Y ANTONIO NARIÑO DE LA CIUDAD DE PASTO
Adjudicado Contrato 1800814 H2
43.213.464.576
BEUMER GROUP
En ejecución
Finaliza 28 de diciembre de 2018 SE SOLICITO PRORROGA
</t>
    </r>
  </si>
  <si>
    <t>ADJUDICARON 9 DE 11</t>
  </si>
  <si>
    <t>CUMPLIDA 1</t>
  </si>
  <si>
    <t>CUMP : 86%</t>
  </si>
  <si>
    <t>H:\1030-ORAN\2018\1030420.2 PLAN DE ACCION</t>
  </si>
  <si>
    <t>CUMP ÁREA: 100%</t>
  </si>
  <si>
    <t xml:space="preserve">A 30  de diciembre se realizó oficio de caducidad a 30 aeronaves,  adicionalmente  a 25  se dio inicio de actuaciones administrativas encaminadas a la cancelación de la matricula de las cuales se envio solicitud de concepto al área técnica. 9 aeronaves no se pudo proceder al inicio de la actuación adminsitrativa debido a que presentan limitaciones al derecho de dominio. Un total de 64 aeronaves a las que se le hizo gestión </t>
  </si>
  <si>
    <t>Sobre el Manual Específico de Funciones y de Competencias Laborales en la Secretaría de Seguridad Operacional y de la Aviación Civil se logró un avance en el total de las áreas de 82%. Los Grupos Inspección de Operaciones, Inspección de Aeronavegabilidad, Certificación de Productos Aeronáuticos, Inspección a los Servicios de Navegación Aérea y Factores Humanos, Certificación y Educación Aeromédica alcanzaron un 100%, el Grupo Licencias PEL 90%, el Grupo de Certificación e Inspección Aeródromos y Servicios Aeroportuarios 37% y el Grupo AVSEC 27%. 
De igual manera, en la Secretaría de Sistemas Operacionales se logró un avance en el total de las áreas de 60%, distribuidos así: Controladores de Tránsito Aéreo 63%, AIS/COM/MET 36%, Grupo Soporte Técnico 47%, Bomberos Aeronáuticos (SEI) 80% y Salvamento y Extinción de Incendios (SAR) 75%.
Se realizaron y publicaron los estudios de verificación de requisitos para los siguientes empleos:
 Controlador de Tránsito Aéreo Grado 25
Técnico Aeronáutico con funciones AIS/COM/MET Grados 25,23,22,21,15,15 y 13.
Bombero Aeronáutico Grados 13 y 12 
Especialista Aeronáutico Grado 39 
Auxiliar Aeronáutico con funciones administrativas Grado 12</t>
  </si>
  <si>
    <t>La entidad adelantó las acciones necesarias para gestionar ante el Gobierno Nacional la Fase II y III del proceso de rediseño institucional del año 2013. Es así como se citó al Departamento Administrativo de la Función Pública a reunión el día 03 de octubre de 2018 en el Despacho de la Dirección de Talento Humano, con el fin de discutir entre otros aspectos lo referente al citado rediseño institucional. Por parte de Función Pública asistió el servidor asignado por la Dirección de Desarrollo Organizacional para gestionar los asuntos de la Aerocivil.
El Director General de la Aerocivil, mediante oficio No. 3100-2018044347 del día 03 de octubre, solicitó apoyo al Director de Función Pública para que, a través del Doctor Hermann Vicente Cuestas Canro de la Dirección de Desarrollo Organizacional, así como de  un delegado de la Dirección Jurídica, brinde acompañamiento y asesoría técnica sobre la actualización del estudio de rediseño organizacional Fase II y Fase III.
Posteriormente, el día 14 de noviembre el Director de la Aerocivil y su equipo conformado por Itala Rodríguez, Adriana Gómez, Juan Alberto Roa, Herman Lopez y el Coronel Aranud estuvieron con la Alta Dirección de Función Pública presentando las necesidades de planta y d eun rediseño institucional.
El día 26 de noviembre de 2018 Función Pública asesora sobre la presentación de una propuesta financiera a Hacienda.</t>
  </si>
  <si>
    <t>Se gestionó con la Dirección de Servicios a la Navegación Aérea el diseño de los planes de contingencia de torres y centros de control a cargo de ellos.
Se consolidaron los procesos de formación de brigadas de emergencia de servidores públicos
 que laboran en torres y centros de control. 
Se contó con la participación de controladores en los simulacros de evacuación.
En los proyectos de aeropuertos mejorados a cargo de la Dirección de Infraestructura debe estar contemplado el cumplimiento normativo en materia de salidas de emergencia.
Se gestionó comunicación a los Directores Regionales reiterando que los diseños nuevos y mejoras incluyan este cumplimiento en la infraestructura aeroportuaria.
Diseño arquitectónico a cargo de la Dirección de Infraestructura, el cual debe obedecer a párametros técnico legales fijados en normatividad colombiana.</t>
  </si>
  <si>
    <t xml:space="preserve">Grupo de Gestión de Seguridad y Salud en el Trabajo entregó 37 resoluciones física de renuncias al Grupo de Nóminas para soportar a Colpensiones retiros de personas que no se legalizaron formalmente ante esa Entidad.
Grupo de Gestión de Seguridad y Salud en el Trabajo se encuentra tramitando con la Dirección Regional del Valle el soporte físico de la afiliación a Colpensiones de 10 servidores públicos, que se encuentran en la lista de pagos sin afiliación.
Pasados 40 días Colpensiones corrigió la novedad presentada en la plataforma virtual a favor de la Aeronáutica Civl por valor 
de 1,200 millones de pesos .
El valor de la deuda presunta a 31 de diciembre de 2018 es de $944,776,587 </t>
  </si>
  <si>
    <t>Se consolidaron las necesidades de aprendizaje organizacional de las áreas misionales y administrativas.
Se llevaron a cabo las reuniones de sustentación de necesidades de aprendizaje organizacional con las áreas administrativas.
Se efectuaron cuatro reuniones del Comité de Capacitación para la revisión de las necesidades de formación, en dos de ellas participaron los representantes de los trabajadores en la Comisión de Personal.
Se presentó el Plan Institucional de Capacitación - PIC 2019 al Consejo Directivo del Centro de Estudios Aeronáuticos, quien revisó y aprobó el documento.
Se presentó el Plan Institucional de Capacitación - PIC 2019 al Consejo Directivo del Centro de Estudios Aeronáuticos, quien revisó y aprobó el documento.</t>
  </si>
  <si>
    <t xml:space="preserve">cumplida </t>
  </si>
  <si>
    <t>n/a</t>
  </si>
  <si>
    <t>CUMP ÁREA :93%</t>
  </si>
  <si>
    <r>
      <t xml:space="preserve">Se realizó una reunión de comité de gerencia, con la participación de los coordinadores de Grupo. Acta de comité de gerencia 05.  </t>
    </r>
    <r>
      <rPr>
        <b/>
        <sz val="10"/>
        <color indexed="8"/>
        <rFont val="Arial"/>
        <family val="2"/>
      </rPr>
      <t>Actividad cumplida</t>
    </r>
  </si>
  <si>
    <t xml:space="preserve">22/05/2018. se realizó sesión de trabajo con los coordinadores de grupo y se hizo una revisión parcial del documento y se ajustó en donde se consideró pertinente.
30/05/2018 se realizó segunda sesión de verificación PETI con la participación de los coordinadores de Grupo. Evidencia acta de comité de gerencia 07.
30/06/2018 se finalizó la verificación se realizaron tres sesiones adicionales. evidencia actas de comité de gerencia 08, 09 y 10
Evidencias en ruta: J:\3400-Informatica\2018\001 Actas Equipo Gerencia2018.
A 31/12/2018 se adelanta la actualización del 90% de los documentos que conforman el PETI y sus anexos, pendiente de ajustar lo relacionado a los temas: Portafolio de Proyectos;  Mapa de Ruta y  Proyección de Presupuesto de Inversión, los cuales tienen cambios significativos debido a la terminación de los existentes proyectos de inversión y su reemplazo por en el nuevo proyecto de inversión denominado: Fortalecimiento de la gestión interna para la alineación de la estrategia TI con los componentes misionales y crear una competitividad estratégica en la Unidad Administrativa Especial de Aeronáutica Civil. </t>
  </si>
  <si>
    <t>En revisión de documentación y entregables del proyecto. 
Conforme a la visión de arquitectura y el portafolio de proyectos sugerido, se programa ejecutar para el año 2019 los proyectos de Gobierno de Datos, Modelo de datos Maestros y  Estrategias de uso y Apropiación de las TI en producción.</t>
  </si>
  <si>
    <t>Se firmó contrato 18001023 H3 el día 24 de septiembre de 2018;  se da inicio a la ejecución el 27 de septiembre de 2018 con un plazo de ejecución hasta el 15 de diciembre de 2018.
Se adelantan las actividades conforme al cronograma del proyecto, no obstante debido a algunos retrasos se solicita por parte del contratista en el mes de noviembre extender el plazo del contrato debido a que el tiempo no es suficiente para ejecutar todas las actividades programadas. Se prorroga el contrato hasta el 30 de abril de 2019.</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</si>
  <si>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mayo/2018.
16/05/2018: Se solicitaron los estudios financieros a la Dir Financiera, se ajustaron algunos documentos y formatos pre-contractuales, se está a la espera de la aprobación de la actualización al PAA, para radicar la proxima semana el proceso en la Dir. Administrativa.
22/06/2018. Se presentó en comité de contratación. No se autorizó la publicación del proceso, ya que se debe analizar y establecer  otras alternativas.</t>
  </si>
  <si>
    <t>Se hizo la revisión del entregable del ejercicio de Arquitectura Empresarial, en lo que corresponde a la estructura organizacional sugerida, se está preparando el borrador del comunicado.
16/05/2018. Sergio Paris le delegó el oficio a Carlos Morales, con comentario "a tener en cuenta". no se observa gestión del Dr. Carlos Morales.
31/05/2018 Carlos Morales, respdonde que la actual administración de Aerocivil, no ha cosiderado el trámite de un nuevo decreto de modificación de la estructura organizacional, la propuesta presentada por la Dir. de Informática, será estudiada y considerada de presentarse una n ueva iniciativa de modificación a la estructura organizacional y de funciones de la entidad.</t>
  </si>
  <si>
    <t>Se elaboró documento de justificación de vigencias futuras y se inició el trámite de VF a través del SUIFP. Son aprobadas las VF y se adelanta la fase precontractual del proceso Implementación del Modelo de gestión de Tecnologías de la Información para la Entidad, el cual permite la adjudicación del contrato 18001755 H3.</t>
  </si>
  <si>
    <t>Proceso pre-contractual 18001024 H2  adjudicado. Se Firmó el contrato el día 22 de septiembre de 2018; plazo de ejecución hasta el 15 de diciembre de 2018. Se adelantan actividades conforme al cronograma, el contratista solicita prórroga con el fin de realizar la fase de pruebas y puesta en producción sin afectar actividades de cierre de fin de año de algunos sistemas de información. Se prorroga hasta el 15 de febrero de 2019.</t>
  </si>
  <si>
    <t xml:space="preserve">ADJUDICADOS Y CON REGISTROS PRESUPUESTALES TODOS LOS SEGMENTOS DE ADQUISICION DE PCS Y PERIFERICOS. VALOR TOTAL ADJUDICADO:  2.399.533.121.
</t>
  </si>
  <si>
    <t>Proceso pre-contractual 18001200 H1 en curso. La presentación de ofertas se fijó para el 12 de octbure de 2018.       
Se adjudica contrato dando inicio el 21 de diciembre de 2018, debe ser prorrogado hasta el mes de febrero de 2019.</t>
  </si>
  <si>
    <t>24/05/2018. Radicado en la Dirección Administrativa el 25/05/2018. Pendiente de avance por parte de dicha Dirección para avanzar en el proceso precontractual.
30/06/2018  se llevó a comité de contratación, si de definió cambiar la modalidad de contratación por subasta inversa. se radicaron los documentos ajustados mediante comunicado ADI No. 3400-2018018352 de fecha 18 de junio de 2018.
Se adjudica contrato 18000985 H2 dando inicio el 16 de octubre de 2018 y terminando el 21 de diciembre de 2018.</t>
  </si>
  <si>
    <r>
      <t xml:space="preserve">24/05/2018. Proceso radicado oficio 2018014881 día 22 de mayo de 2018, en la dir Administrativa.
30/06/2018 se llecó a comité de contratación , se solicitó que la Secretaría de Sistemas Operacionales justificara con más detalle su solicitud de licenciamiento de SIGMA y al no obtener esta información para el comité que se realizó el </t>
    </r>
    <r>
      <rPr>
        <sz val="10"/>
        <rFont val="Arial"/>
        <family val="2"/>
      </rPr>
      <t>21 de junio</t>
    </r>
    <r>
      <rPr>
        <sz val="10"/>
        <color indexed="8"/>
        <rFont val="Arial"/>
        <family val="2"/>
      </rPr>
      <t>, el comité determinó excluir este licenciamiento del proceso. se entregó documentación ajustada en la Dir. Administrativa, el día 22 de junio 3400-2018018938.</t>
    </r>
  </si>
  <si>
    <t>Ejecutado y Terminado</t>
  </si>
  <si>
    <t>En trámite de autorización de VF. Aprobadas las vigencias futuras se adelanta contratación para dar continuidad al servicio hasta 2020.</t>
  </si>
  <si>
    <t>En trámite de autorización de VF. Aprobadas las vigencias futuras se adelanta contratación y se adjudica contrato 18001685 H3 con inicio 28 de diciembre de 2018</t>
  </si>
  <si>
    <t>En trámite de autorización de VF. Se aprueban las vigencias futuras, se tramita proceso de contratación y se adjudica contrato 18001674 H3 con inicio 29 de diciembre de 2018.</t>
  </si>
  <si>
    <t xml:space="preserve">Contrato ejecutado y finalizado </t>
  </si>
  <si>
    <t>Contratos de soporte y mantenimiento a sistemas de información ejecutados y finalizados:
SOPORTE, MANTENIMIENTO y DEPURACION DE DATOS AL SISTEMA DE INFORMACION DE GESTION AERONAUTICA – SIGA 
MANTENIMIENTO AL SOFTWARE DEL SISTEMA DE INFORMACION DE GESTION DOCUMENTAL  - ADI
MANTENIMIENTO AL SOFTWARE DEL SISTEMA DE INFORMACION DE TALENTO HUMANO  - SITAH 
MANTENIMIENTO AL SOFTWARE DEL SISTEMA DE INFORMACION PARA ASIGNACION DE TURNOS Y MANEJO DE DIARIO DE SEÑALES - CONTROLT
SOPORTE Y MANTENIMIENTO AL SISTEMA INTEGRADO DE GESTIÓN MECI Y CALIDAD
SOPORTE Y MANTENIMIENTO AL SOFTWARE DEL SISTEMA DE INFORMACION ACADEMICO DEL CEA - SIA II
MANTENIMIENTO AL SOFTWARE DEL SISTEMA DE INFORMACION COMPENDIOS JURIDICOS 
ACTUALIZACION Y MANTENIMIENTO AL SOFTWARE SPSS
MANTENIMIENTO AL SOFTWARE DEL SISTEMA DE INFORMACION DE  PROCESOS JUDICIALES - ORION  
MANTENIMIENTO Y SOPORTE AL SISTEMA DE CARNETIZACIÓN Y CONTROL DE ACCESO DE LA ENTIDAD
MANTENIMIENTO AL SOFTWARE DEL SISTEMA DE INFORMACION PAF (JDEDWARDS).
SOPORTE Y MANTENIMIENTO A LA PLATAFORMA VMWARE
ACTUALIZACION A LA APLICACIÓN MOVIL AIP COL DE LA AERONAUTICA CIVIL
SOPORTE Y  MANTENIMIENTO  AL SOFTWARE DEL SISTEMA DE INFORMACION AERONAUTICO SIA/AIM
MANTENIMIENTO AL SOFTWARE DEL SISTEMA DE INFORMACION SIGMA
ACTUALIZACION Y SOPORTE  AL SISTEMA DE VIDEOCONFERENCIA DE LA ENTIDAD
ACTUALIZACION Y MANTENIMIENTO AL SOFTWARE  DATAPROTECTOR
SOPORTE Y MANTENIMIENTO AL SOFTWARE DEL SISTEMA DE INFORMACION CONTROLT
Contrato adjudicado por vigencias futuras:
Contratar el soporte técnico y mantenimiento para el sistema de información de gestión aeronáutica – SIGA de la Entidad (Vigencia futura): Se aprueba las vigencias futuras, se tramita proceso de contratación por 2 años y se adjudica contrato 18001615 H3 con inicio 9 de enero de 2019.
Proceso no adjudicado.
ACTUALIZACION Y MANTENIMIENTO AL SOFTWARE   MICROSTATION: se declaró desierto y no se tramitó reapertura, debido a que el proponente no cumplía con los requisitos exigidos.</t>
  </si>
  <si>
    <t xml:space="preserve">Contratos de soporte y mantenimiento a componentes de infraestructura ejecutados y finalizados:
SOPORTE Y MANTENIMIENTO AL SISTEMA DE SEGURIDAD ANTIVIRUS MCAFEE
Soporte y mantenimiento a los servicios de la plataforma ODA.
Soporte y Mantenimiento a la seguridad perimetral (Firewall Forcepoint, IPS Mcafeey WebGate Proxy Mcafee)
Soporte y mantenimiento a los servicios de la plataforma HP.
MANTENIMIENTO Y SOPORTE TECNICO BALANCEADORES F5
Contrato en ejecución:
MANTENIMIENTO Y SOPORTE TECNICO AL SOFTWARE DE GESTION DEL CENTRO DE COMPUTO - BSM. Prorroga aprobada en comité de contrtación hasta marzo de 2019.
</t>
  </si>
  <si>
    <t xml:space="preserve">Bog7 I: Información Institucional Informatica - Documentos de apoyo - Estructura Empresarial.  
Anteproyecto 2019 y PAA Informática.
</t>
  </si>
  <si>
    <t>Bog7: Terminos de Referencia 2018 - Secretaria General - Direc Informatica - Procesos 2018
T:\2018\Sec_General\Informatica\PQRD</t>
  </si>
  <si>
    <t>Bog7 J:Secretaria General - Informatica - Documentos de Apoyo - Varios  Vigencias Futuras 2018
T:\2018\Sec_General\Informatica\MGTI</t>
  </si>
  <si>
    <t>Bog7 J:Secretaria General - Informatica - Documentos de Apoyo - Contratos 2018</t>
  </si>
  <si>
    <t>Bog7 J:Secretaria General - Informatica - Documentos de Apoyo - Contratos 2017 - 17001380 H3</t>
  </si>
  <si>
    <t>Bog7 J:Secretaria General - Informatica - Documentos de Apoyo - Varios  Vigencias Futuras 2018</t>
  </si>
  <si>
    <t>Bog7 J Secretaria General - Seguridad  - 532 Sensibilizacion SI</t>
  </si>
  <si>
    <t>J:\3400-Informatica\DocApoyo\Avance Contratos 2018</t>
  </si>
  <si>
    <t>CUMP ÁREA:  93%</t>
  </si>
  <si>
    <t>Se mantiene actualizada la matriz de pagos de sentencias y conciliaciones, durante el trimestre se atendieron y cancelaron 04 sentencias y 04 conciliación.</t>
  </si>
  <si>
    <t>Durante el cuarto trimestre, se llevó  a cabo una reunción con los apoderados. (29 de Octubre de 2018).</t>
  </si>
  <si>
    <t xml:space="preserve">Se pagaron durante el tercer trimetre cuatro (04) sentencias y una (01) conciliación. </t>
  </si>
  <si>
    <t xml:space="preserve">Se recibieron 07 solicitudes de concepto frecuentemente durante todos los meses  y se emite respuesta en el menor tiempo posible. </t>
  </si>
  <si>
    <t xml:space="preserve">La OAJ acompaña jurídicamente como parte integrante del comité de contratación el desarrollo precontractual de los procesos de contratación. </t>
  </si>
  <si>
    <t>La OAJ acompaña jurídicamente como parte integrante del comité de contratación el desarrollo precontractual de los procesos de contratación, de acuerdo con la resolución No. 1355 del 15 de mayo de 2018.</t>
  </si>
  <si>
    <t xml:space="preserve">Los apoderados actualizan continuamente los procesos en la plataforma ekogui.            </t>
  </si>
  <si>
    <t>El 28 de Diciembre se envió a la Agencia Juridica del Esta el proyecto definitivo de la politica para el daño antijuridico del año 2019 con el fin de que sea aprobada, la Entidad se encuentra a la espera de la respuesta por parte de la Agencia.</t>
  </si>
  <si>
    <t xml:space="preserve">ACTIVIDAD CUMPLIDA AL 100% EN EL SEGUNDO TRIMESTRE DE LA VIGENCIA - 
Diciembre14:  asignación Sistema Nacional de Información para la Educación Superior – SNIES con código institucional No. 9934 </t>
  </si>
  <si>
    <t>En diciembre 26 se  realizo  la  auditoria  CEA-SSOAC.  En la espera de recibir la  certificación de la Adición del programa por parte de la SSOAC.</t>
  </si>
  <si>
    <t>Se realizo Consejo académico CEA mediante aprobación acta No.50 de documentos institucionales como insumo para la elaboración de la política de sistema de crédito, el cual se encuentra pendiente la elaboración de dicho documento.
Diciembre: Grupo de Cailidad  y Autoevaluacion Institucional. Se elaboro Documento de lineamientos para la transición de la oferta académica a créditos, para programas de Educación superior y proceso de transición para programas de formación Básica Aeronáutica.</t>
  </si>
  <si>
    <t>Se  han  desarrollado  cinco  productos  de  investigación  científica:
1. Implementación de sistema para la medición de fuerzas aerodinámicas en un túnel de viento subsónico. 
2. Sistemas Remotos Centralizados: Una Solución Efectiva Para El Mantenimiento Aeronáutico
3. Metodología para estimar el potencial energético en las estaciones aeronáuticas de la Aeronáutica Civil de Colombia
4. Cálculo de la capacidad de aeronaves por hora de los sectores de control de tránsito aéreo del área de control terminal de Bogotá.
5. Diseño de un sistema de generación solar fotovoltaico con posibilidad de operar en isla para el aeropuerto José María Córdova.  
6.Analisis de condiciones generadoras de peligro aviario- estudio de caso en el aeropuerto internacional Camilo Daza.</t>
  </si>
  <si>
    <t xml:space="preserve">Se encuentro en desarrollo estudio de oferta académica externa para la vigencia 2019.
En cuanto a la oferta interna se culmino la primera fase del levantamiento de información de necesidades de capacitación de la entidad por parte de la Dir. de Talento Humano.
</t>
  </si>
  <si>
    <t>Se desarrollo  la   Estructuracion de  demandas de formacion, (actividades  academicas y Programas de Formacion)  en  temas de  seguridad  Operacional  y de Aviacion Civil y de Gestion administrativa,  realizadas por la Direccion de Talento Humano - CEA y se  consolido  Documento de  PIC y Oferta  2019.</t>
  </si>
  <si>
    <t>Las evidencias se encontraran  ubicadas en el BOG7 Institucional - Dirección Subdirección - 1042 Planeación - Plan de Acción 2018</t>
  </si>
  <si>
    <t>Las evidencias se encontraran  ubicadas en el BOG7 Institucional - Dirección Subdirección - 1042 Planeación - Plan de Acción 2018
Documento soporte del proceso realizado y certificación.</t>
  </si>
  <si>
    <t>Las evidencias se encontraran ubicadas en el BOG7 Institucional - Dirección Subdirección - 1042 Planeación - Plan de Acción 2018</t>
  </si>
  <si>
    <t xml:space="preserve">Las evidencias se encontraran  ubicadas en el BOG7 Institucional - Dirección Subdirección - 1042 Planeación - Plan de Acción 2018
</t>
  </si>
  <si>
    <t>Las evidencias se encontraran ubicadas en el BOG7 Institucional - Dirección Subdirección - 1045 Grupo de Calidad - Plan de Acción 2018</t>
  </si>
  <si>
    <t>Las evidencias se encontraran  ubicadas en el BOG7 Institucional - Dirección Subdirección - 1045 Grupo de Calidad - Plan de Acción 2018</t>
  </si>
  <si>
    <t>Las evidencias se encontraran  ubicadas en el BOG7 Institucional - Dirección Subdirección - 1042 Grupo de Planeación - Plan de Acción 2018</t>
  </si>
  <si>
    <t>Las evidencias son los productos de investigación, se encontraran  en el BOG7 Institucional - Dirección Subdirección - 1046 Grupo de Investigación académico - Plan de Acción 2018</t>
  </si>
  <si>
    <t>Se  encontraran   publicados en la  pagina  web de la  entidad: http://www.aerocivil.gov.co/cea/Investigación/InvestigacionCEA/productos-de-investigación</t>
  </si>
  <si>
    <t>Evidencias: La  información  se    encontraran  en la  siguiente  ruta pagina  WEB  de la  Entidad. http://www.aerocivil.gov.co/Aerocivil/foro 2030</t>
  </si>
  <si>
    <t>Evidencias: La  información  se   encontraran en la  siguiente  ruta pagina  WEB  de la  Entidad. http://www.aerocivil.gov.co/aerocivil/foro2030/Memorias</t>
  </si>
  <si>
    <t>Las evidencias se encontraran  ubicadas en el BOG7 Institucional - Dirección Subdirección - 1042 Planeación - Plan de Acción 2018
http://www.aerocivil.gov.co/aerocivil/foro2030/notas-de-estudio</t>
  </si>
  <si>
    <t>Las evidencias se encontraran  ubicadas en el BOG7 Institucional - Dirección Subdirección - 1042 Planeación - Plan de Acción 2018 
Circular No. 3100082-2018022278 del 31 de Julio de 2018 Diagnostico de necesidades de aprendizaje organizacional - Plan Nacional de Formación y Capacitación PIC 2019</t>
  </si>
  <si>
    <t>La evidencia  se encontrara  -ubicadas en el BOG7 Institucional - Dirección Subdirección - 1042 Planeación - Plan de Acción 2018 y  proximamente  en  la pagina  Web -Documento PIC y  Oferta  Academica 2019</t>
  </si>
  <si>
    <t>El proyecto DORADO II y SAB 2050 se encuentran a la fecha suspendido, una vez se dé el resultado de la consultoría por parte de la Aerocivil de la capacidad del espacio, la entidad tomara decisiones respecto a la propuesta más favorable, El proyecto CAMPO DE VUELO EL DORADO  la Aerocivil solicito  manisfectación de interes público a la SSO, con respecto a la IP SAN ANDRES ISLAS, se encuentra en análisis el borrador de las tarifas.</t>
  </si>
  <si>
    <t>De las 8 visitas programadas se cumplio con 4 visitas, lo anterior debido a que se solicito a la OAP revisar dicha aplicación que se venia realizando a los aeropuertos y mediante correos del 27 de septiembre y 15 de noviembre se informa sobre incorporar  las matrices de seguimiento en los acuerdo de gestión de los coordinadores regionales a los cuales se ha aplicado este sondeo, lo anterior por cuanto no es competencia de esta oficina adelantar dicho seguimiento.</t>
  </si>
  <si>
    <t>De las acciones de los comites relizados ANI-AEROCIVIL, se cerraron 33. 
Matriz Aerocivil - ANI - bog7 . 1070 Oficina comercialización</t>
  </si>
  <si>
    <t>El Convenio Interadministrativo ANI -AEROCIVIL  ya se encuentra firmado, vigente y operando desde octubre de 2018. Convenio P-08-2018.
Convenio Interadministrativo ANI-AEROCIVIL - bog7 . 1070 Oficina comercialización</t>
  </si>
  <si>
    <t>Cumplida al 100% procedimiento aprobado se puede evidenciar  en Isolucion.</t>
  </si>
  <si>
    <t>Cumplida al 100% Se nombró pór parte de la SSO personal  de las áreas técnicas para realizar el análisis de la viabilidad  de los proyectos presentados.</t>
  </si>
  <si>
    <t>Cumplida al 100% formato aprobado se puede evidenciar en Isolucion.</t>
  </si>
  <si>
    <t>Este compromiso se cumplio al 100%, por parte de la Oficina de Comercialización e inversión. 
Se cumplió al 100% Según oficio 2018035654  de fecha 1 de noviembre de 2018 dirigido al doctor Sergio Paris Mendoza, Jefe de la Oficina Asesora de  Planeación, se solicitó dar por cerrado este compromiso por parte de la Oficina de Comercialización.</t>
  </si>
  <si>
    <t xml:space="preserve">Se presentó informe ejecutivo el 30 de diciembre,  (Matriz Aerocivil - Aní - Informes). 
De los 46 compromisos fueron cerrados y solucionados 33 
Compromisos en gestión 10
Compromisos de dificil cumplimiento 3
Matriz Aerocivil - ANI - bog7 . 1070 Oficina comercialización
</t>
  </si>
  <si>
    <t>CUMP ÁREA:96%</t>
  </si>
  <si>
    <t xml:space="preserve">N/A </t>
  </si>
  <si>
    <t>Mapa de Riesgos de Corrupción publicado a 31 de marzo de 2016. Soporte página web AEROCIVIL  -Atención al Ciudadno- Participación Ciudadana - Plan Anticorrupcion y de Atención al Ciudadano..</t>
  </si>
  <si>
    <t>33 Procesos con Riesgos de Gestión  revisados y actualizados. Soporte Módulo Riesgos ISOLUCION</t>
  </si>
  <si>
    <t>Los 33 procesos cuentan con indicadores de gestión, falta definir cuales son objeto de medición desde las Direcciones Regionales Aeronáuticas y desde Aeropuertos. Se espera que con la versión 4,8 de ISOLUCION se logre esta articulación. Soporte Módulo Indicadores ISOLUCION</t>
  </si>
  <si>
    <t>Se culmino la actualización de la documentación manuales, procedimientos  del proceso GDIR-3,0- Manuales de Documentación Capitulos II,III,IV,V. Soporte Módulo Manual  ISOLUCION</t>
  </si>
  <si>
    <t>Se terminó la actualización de las 33 cartas de proceso y  su articulación desde el Mapa de Proceso de la Entidad.. Se realizaron las actividades que en el cronograma de implementación versión 4,8 ISOLUCION, le corresponde al grupo de organización y Calidad, Capacitación en la nueva versión y ejercicios en ambiente de pruebas.</t>
  </si>
  <si>
    <t xml:space="preserve">1)Asistió el Grupo con la OCI al taller de la nueva guia 2018 de riesgos de gestión y de corrupción.
2)Se expide Resolución 2405 de agosto de 2018 Adopta mi MIPG y crea el   Comité Institucional de Gestión y Desempeño.
3)No se ha instalado el Comité y no se ha definido cronograma de actividades. 
</t>
  </si>
  <si>
    <t>Se intala Comité Institucional de Gestión y Desempeño el 27 de noviembre, mediante circular de la Secretariía General 2018041003 de 10 de diciembre ,  se solicita diagnóstico a los procesos</t>
  </si>
  <si>
    <t xml:space="preserve">Base de gestión: 8 Instrumentos bilaterales. 
Con la participación en un evento de negociaciones de la OACI, este es, la Conferencia sobre negociaciones de Servicios Aéreos ICAN 2018, llevada a cabo del 10 al 14 de diciembre de 2018, en Nairobi -Kenia, permitió avances significativos dando como resultado 19 Acuerdos de Servicios Aéreos con  20 países y un total de 27 reuniones, de no haberse llevado a acabo la citada reunión el indicador se hubiera cumplido en lo previsto inicialmente. </t>
  </si>
  <si>
    <t>• Desde el 23 de mayo de 2018 se encuentra publicado en la página web de la Entidad para comentarios del público en general el proyecto de resolución (modificando los numerales 3.6.3.2.5 y 3.6.3.2.6) del nuevo procedimiento de audiencia pública. 
De 39 reglamentos LAR por armonizar, se tiene lo siguiente:
1- Concluidos al 100%, 3 reglamentos RAC armonizados
2- En etapa final al 98%, 1 reglamentos RAC 
3- En tapa avanzada al 80%,1 reglamentos RAC
4-  En etapa inicial al 35%, 3 reglamentos RAC 
Para un total de avance del 94,44%</t>
  </si>
  <si>
    <t>METAS CUMPLIDAS : 5</t>
  </si>
  <si>
    <t>El cumplimiento del Plan de Auditorías para la vigencia fue del 90%, en actividades de asesoría, acompañamiento, atención de quejas y denuncias de línea Anticorrupción, Informes de Auditoría e informes de ley como se refleja en seguimiento del Plan de auditorías 2018.</t>
  </si>
  <si>
    <t>H:\1020-ControlInterno\2018\420 PLANEACION, GESTION, SEGUIMIENTO Y AUTOEVALUACION\420.2 PLAN DE ACCION\PLAN DE ACTIVIDADES - PLAN DE AUDITORIAS.</t>
  </si>
  <si>
    <t>Se realizaron dos auditorías combinadas en Direcciones Regionales, las demás no se ejecutaron.</t>
  </si>
  <si>
    <t>Se realizó a través del aplicativo ISOLUCION encuentas de la persepción del servicio de auditoría, opteninendo un promedio de evaluación del 90% de las actividades evaluadas por algunos de los encuestados sobre el procedimiento de auditoría, no todos los auditados responden los formularios enviados.</t>
  </si>
  <si>
    <t xml:space="preserve">
Con corte al IV Trimestre las inspecciones realizadas son 3,594, de 3,655 O 3,979 de la programación (ajustada) se adjunta Anexo No. 1 que describe la ejecución de inspecciones por grupo. Cumplimiento del 98% o 90%
</t>
  </si>
  <si>
    <t xml:space="preserve">
La SSOCV se vio obligada a replantear el plan de capacitación, dadas las restricciones presupuestales y de orden legal.
Se adjunta el plan de capacitación modificado a 3° trimestre de 2018, en el Anexo No. 2. total personal capacitados 499</t>
  </si>
  <si>
    <t>La Aeronáutica Civil concedió la Certificación de Aeródromo a los Aeropuertos Internacionales Camilo Daza de Cúcuta y Palonegro que sirve a la ciudad de Bucaramanga, al cumplir con las normas y métodos recomendados por la Organización Internacional de Aviación Civil (OACI), que dispone la obligación de los Estados Contratantes a establecer la reglamentación para la certificación de los Aeródromos terrestres.
Estas dos terminales aéreas se convierten en el cuarto y quinto aeropuerto de Colombia, respectivamente, en recibir la certificación que otorga La Unidad Administrativa Especial de la Aeronáutica Civil de Colombia U.A.E.A.C., autoridad competente.</t>
  </si>
  <si>
    <t>CUMP ÁREA :  97%</t>
  </si>
  <si>
    <t xml:space="preserve">Resolución 03645 de4 23 noviembre mediante la cual se adopta el Manual de Políticas Contables  para tener en cuenta en la preparación y presentación de información financiera </t>
  </si>
  <si>
    <t>META CUMPLIDA: 2</t>
  </si>
  <si>
    <t>Evidencia en J:\3302-Contabilidad\2018\178 - Estados Financieros\12 - Diciembre\2. INFORMACIONCONTABLE PUBLICA-CONVERGENCIA\SOPORTES CHIP</t>
  </si>
  <si>
    <t>SE REALIZAN ACTIVIDADES PARA LA EJECUCIÓN DEL PROCESO "IMPLEMENTACIÓN DEL MODELO DE GESTION DE TI PARA LA ENTIDAD" Y "DIAGNÓSTICO Y PLANIFICACIÓN DEL SISTEMA DE GESTIÓN DE SEGURIDAD DE LA INFORMACIÓN -SGSI EN LA ENTIDAD Y SU IMPLEMENTACIÓN PARA EL PROCESO “SERVICIOS A LA NAVEGACIÓN AÉREA” QUE SE EJECUTARÁN EN LA VIGENCIA 2019</t>
  </si>
  <si>
    <t xml:space="preserve">EL 27 DE NOVIEMBRE SE INSTALÓ OFICIALMENTE EL COMITÉ INSTITUCIONAL DE GESTION Y DESEMPEÑO DONDE SE DETERMINO ESTABLECER UN DIAGNOSTICO DEL ESTADO ACTUALDE LAS POLITICAS DE GESTION DE GOBIERNO DIGITAL Y SEGURIDAD DIGITAL. </t>
  </si>
  <si>
    <t xml:space="preserve">Se realizó el diagnóstico arrojando la necesidad de contar con esta herramienta tecnológica. </t>
  </si>
  <si>
    <t>CUMP ÁREA : 82%</t>
  </si>
  <si>
    <t>Balance correspondiente al IV Trimestre del 2018 (Información contable publica)</t>
  </si>
  <si>
    <t xml:space="preserve">MECI: En el transcurso de los cuatro trimestres se cerraron 550 hallazgos del PM OCI, de la meta que es el 70% de 876 hallazgos.  Los hallazgos cerrados en el cuarto trimestre fueron 251.
De los 613 hallazgos propuestos para cierre se cerraron 550 logrando el cierre del 62,8% de los hallazgos. </t>
  </si>
  <si>
    <t xml:space="preserve">Al 30 de diciembre de 2018 se cerraron los 134 hallazgos tomados como meta.
22 hallazgos  corresponden al cuarto timestre. </t>
  </si>
  <si>
    <t>23,4%
(93,67% compromisos)</t>
  </si>
  <si>
    <t>23,1%
(92,47% obligaciones</t>
  </si>
  <si>
    <t>L 27 DE NOVIEMBRE SE INSTALÓ OFICIALMENTE EL COMITÉ INSTITUCIONAL DE GESTION Y DESEMPEÑO DONDE SE DETERMINO ESTABLECER UN DIAGNOSTICO DEL ESTADO ACTUAL</t>
  </si>
  <si>
    <t>• Se realizó actualización del mapa de riesgos de corrupción de la Dirección Administrativa del proceso de Gestión Contractual, de acuerdo a nueva metodología DAFP, el cual se encuentra pendiente de revisón por la OAP.
En total se intervinieron 20 documentos en la Dirección Administrativa, entre procedimientos,pliegso y formatos, de los cuales 7 se actualizaron y 13 se crearon, como resultado de la reingenieria. Quedando pendiente intervenir 8 documentos de la etapa contractual y crear 4 en al etapa precontractual.
Se intervinieron  8 procedimientos del Grupo de Almacen que van asociados a la etapa contractual de manejo de bienes los cuales se encuentran con flujograma y explicación para aprobación.
ACTUALIZACION INVENTARIO ACTVOS
BAJA ELEMENESTOS DE CONSUMO
BAJA  MATERIALES PRODUCTO DE DESTRUCCION POR DEMOLICION
EGRESO ELEMENTOS AL ALMACEN
INGRESO ALMACEN POR COMPRA
INVENTARIO ACTIVOS FIJOS MUEBLES EN SERVICIO
REINTEGRO AL ALMACEN 
TRASLADO ELEMENTOS ENTRE CUENTADANTES</t>
  </si>
  <si>
    <t>Dada la coyuntura del ultimo trimestre, y la dinamica de contratación que presentó la Dirección Administrativa, se dio prioridad a otras actividades, por lo tanto se pretende reprogramar esta actividad para la vigencia 2019.</t>
  </si>
  <si>
    <t>Primer Trimestre: 
Se identificaron los documentos que tiene el proceso GCON  en total 19.
Abril:1-Inducción al equipo del aplicativo isolución con acompañamiento de oficina de Planeación.
2- Identificación de documentos obsoletos del Proceso de contratación 
3-Revisión de hallazgos asociados al proceso como insumo del diagnostico. Con acompañamiento de Control Interno.
4-Revisión de indicadores y lluvia de ideas para propuestas de modificación.
Segundo Trimestre:
1.-Definición de indicadores proceso Contractual - Actas del 27-abril-2018, 02-mayo de 2018 y 08-mayo-2018
a) Efectividad en el cumplimiento del PAA.
b) Calidad de proyectos presentados por ordenadores del gasto a la Dirección Administrativa.
c) Procesos Sancionatorios
Tercer Trimestre:
1- Se definio equipo de profesionales para la revisión y observaciones a los borradores, antes de subirlos a ISOLUCION 
2- Se revisaron los  indicadores para las áreas Precontractual , Contractual y Seguros
Cuarto Trimestre
•Se realizó aplicación de evaluación cadena de valor para procesos, elaborando matrices y presentación de resultado final, enviado a la Directora Administrativa, insumo base para iniciar rediseño de procesos.</t>
  </si>
  <si>
    <t xml:space="preserve">Cuarto Trimestre:
-La Dirección Administrativa mediante circular 3200- 2018038364 de fecha 24 de noviembre de entrega directrices para la aplicación adecuada de los formatos
-Se realizó el flujo de revisión y aprobación en ISOLUCIÓN de todos los docuementos que se intervinieron,los cuales se han adoptado en al Dirección Administrativa y la Entidad, en total fueron 18 documentos entre procedimientos y formatos,mencionados en la actividad anterior:
-ESTUDIOS PREVIOS DE CONTRATACION 
- DOCUMENTOS CONTRATOS PERSONA NATURAL
- REQUISITOS TRAMITE CONTRATOS CON PERSONA JURIDICA
-REGISTRO DE ASISTENCIA DE AUDENCIA
-PROCEDIMIENTO LICITACIÓN PÚBLICA
-PROCEDIMIENTO MINIMA CUANTÍA
-PROCEDIMIENTO SELECCIÓN ABREVIADA
-PLIEGOS TIPO PARA LICITACIÓN PÚBLICA
-PLIEGOS TIPO PARA MINIMA CUANTIA
-PLIEGOS TIPO PARA SELECCIÓN ABREVIADA
-INFORME DE SUPERVISIÓN
-ACTA DE INCIO
-DEVOLUCIÓN DE ELEMENTOS DE RETIRO O CAMBIO
-ASIGANCIÓN DE SUPERVISIÓN
-MINUTA PARA CONTRATOS DE OBRA
-MINUTA PARA CONTRATOS DE INTERVENTORIA
-MINUTA PARA CONTRATOS DE CONSULTORIA
-FORMATO PARA APROBACIÓN DE PÓLIZAS </t>
  </si>
  <si>
    <t>Primer Trimestre:
Se realizó la comunicación a los supervisores sobre las responsabilidades contractuales y a los ordenadores del gasto 
Segundo Trimestre:
- Envío de Circular para Supervisores con Formato de Informe (2018009050 del 2-abril)</t>
  </si>
  <si>
    <t>Se adjunta lista de asistencia a capacitación Regional Antioquia y Atlántico
Tercer Trimestre:
1- Se tiene capacitado a los supervisores de ATLANTICO, ANTIOQUIA, BOGOTA. 
2- Se encuentra en revisión el borrador del Manual de Supervisón 
Cuarto Trimestre: 
3-Se finalizó la capacitación a los funcionarios en la Regional Valle, Meta y Santander</t>
  </si>
  <si>
    <t>Primer Trimestre: Se detectó la inexistencia de procedimientos para los servicios generales. 
Tercer Trimestre: 
Se realizaron dos mesas de trabajo, a tráves de reuniones de equipo de gerencia y otra de seguimiento al plan, donde se solicitó  el levantamiento de los procesos de servicios generales.
Cuarto trimestre: 
 •Se realizó reunión con la coordinadora de servicios generales, donde se identificó los diferentes procesos a documentar y estandarizar para este grupo, resultado de dicha reunión,se documentó conclusiones, para ser revisadas y programar dado el alcance y tiempo,el levantamiento de los procesos requeridos para servicios generales, el cual se debe reprogramar y culminar como prioritario en la vigencia 2019.</t>
  </si>
  <si>
    <r>
      <rPr>
        <sz val="11"/>
        <color theme="1"/>
        <rFont val="Calibri"/>
        <family val="2"/>
        <scheme val="minor"/>
      </rPr>
      <t xml:space="preserve">Revisar y analizar los procedimientos existentes en la entidad. </t>
    </r>
  </si>
  <si>
    <t>Informe semanal de actividades que son evidenciadas en los comités directivos y a su vez son enviadas al Ministerio de Transporte a fin de consolidar la información de gestión del sector transporte</t>
  </si>
  <si>
    <t xml:space="preserve">Se  continúa con la divulgación de información por lo diferentes canales con los que cuenta la entidad. Se ha hecho enfáisis en presencia institucional en los talleres de Construyendo País </t>
  </si>
  <si>
    <t>CUMP ÁREA :  81%</t>
  </si>
  <si>
    <t>Hasta donde quedo el documento mencionado por la Subdirección</t>
  </si>
  <si>
    <t>Debido a la reformulacion de los nuevos proyectos de inversión, se ubica esta tarea  en la OAP a partir del a vigencia 2019.</t>
  </si>
  <si>
    <t>La  Subdireccion, cumplio con las dos primeras actividades teniendo en cuenta  la tarea que tenia asignada para la vigencia 2018.  Quedando pendiente la reubicacion de esta tarea al área de competencia.</t>
  </si>
  <si>
    <t xml:space="preserve">23,4%
</t>
  </si>
  <si>
    <t xml:space="preserve">23,1%
</t>
  </si>
  <si>
    <t>METAS  CUMPLIDA:  1</t>
  </si>
  <si>
    <t>METAS CUMPLIDAS: 6</t>
  </si>
  <si>
    <t>METAS CUMPLIDAS: 4</t>
  </si>
  <si>
    <t>META CUMPLIDA:  6</t>
  </si>
  <si>
    <t>METAS CUMPLIDAS:  5</t>
  </si>
  <si>
    <r>
      <rPr>
        <b/>
        <sz val="9"/>
        <color indexed="8"/>
        <rFont val="Calibri"/>
        <family val="2"/>
      </rPr>
      <t>NOTA</t>
    </r>
    <r>
      <rPr>
        <sz val="9"/>
        <color indexed="8"/>
        <rFont val="Calibri"/>
        <family val="2"/>
      </rPr>
      <t>: El archivo publicado inicialmente presentó alguna inconsistencias de forma , las cuales fueron ajustadas sin interferir en sus resultados.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</si>
</sst>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quot;$&quot;\ * #,##0.00_);_(&quot;$&quot;\ * \(#,##0.00\);_(&quot;$&quot;\ * &quot;-&quot;??_);_(@_)"/>
    <numFmt numFmtId="165" formatCode="_(* #,##0.00_);_(* \(#,##0.00\);_(* &quot;-&quot;??_);_(@_)"/>
    <numFmt numFmtId="166" formatCode="0.0%"/>
    <numFmt numFmtId="167" formatCode="_(* #,##0_);_(* \(#,##0\);_(* &quot;-&quot;??_);_(@_)"/>
    <numFmt numFmtId="168" formatCode="_(* #.##0.00_);_(* \(#.##0.00\);_(* &quot;-&quot;??_);_(@_)"/>
    <numFmt numFmtId="169" formatCode="_-* #,##0_-;\-* #,##0_-;_-* &quot;-&quot;??_-;_-@_-"/>
    <numFmt numFmtId="170" formatCode="_(* #,##0.0_);_(* \(#,##0.0\);_(* &quot;-&quot;??_);_(@_)"/>
    <numFmt numFmtId="171" formatCode="0.000"/>
    <numFmt numFmtId="172" formatCode="0.000%"/>
  </numFmts>
  <fonts count="141" x14ac:knownFonts="1">
    <font>
      <sz val="11"/>
      <color theme="1"/>
      <name val="Calibri"/>
      <family val="2"/>
      <scheme val="minor"/>
    </font>
    <font>
      <b/>
      <sz val="10"/>
      <name val="Arial"/>
      <family val="2"/>
    </font>
    <font>
      <sz val="10"/>
      <name val="Arial"/>
      <family val="2"/>
    </font>
    <font>
      <sz val="8"/>
      <name val="Arial"/>
      <family val="2"/>
    </font>
    <font>
      <b/>
      <sz val="11"/>
      <name val="Arial"/>
      <family val="2"/>
    </font>
    <font>
      <b/>
      <sz val="8"/>
      <name val="Arial"/>
      <family val="2"/>
    </font>
    <font>
      <sz val="10"/>
      <color indexed="8"/>
      <name val="Arial"/>
      <family val="2"/>
    </font>
    <font>
      <sz val="11"/>
      <color indexed="59"/>
      <name val="Calibri"/>
      <family val="2"/>
    </font>
    <font>
      <sz val="11"/>
      <name val="Calibri"/>
      <family val="2"/>
    </font>
    <font>
      <sz val="10"/>
      <color indexed="8"/>
      <name val="Calibri"/>
      <family val="2"/>
    </font>
    <font>
      <b/>
      <sz val="10"/>
      <color indexed="8"/>
      <name val="Calibri"/>
      <family val="2"/>
    </font>
    <font>
      <sz val="11"/>
      <color indexed="10"/>
      <name val="Calibri"/>
      <family val="2"/>
    </font>
    <font>
      <b/>
      <sz val="11"/>
      <color indexed="8"/>
      <name val="Calibri"/>
      <family val="2"/>
    </font>
    <font>
      <sz val="10"/>
      <color indexed="10"/>
      <name val="Arial"/>
      <family val="2"/>
    </font>
    <font>
      <sz val="14"/>
      <color indexed="8"/>
      <name val="Calibri"/>
      <family val="2"/>
    </font>
    <font>
      <sz val="9"/>
      <name val="Arial"/>
      <family val="2"/>
    </font>
    <font>
      <sz val="14"/>
      <color indexed="8"/>
      <name val="Arial Narrow"/>
      <family val="2"/>
    </font>
    <font>
      <sz val="10"/>
      <color indexed="8"/>
      <name val="Arial Narrow"/>
      <family val="2"/>
    </font>
    <font>
      <sz val="14"/>
      <color indexed="59"/>
      <name val="Calibri"/>
      <family val="2"/>
    </font>
    <font>
      <b/>
      <sz val="14"/>
      <color indexed="8"/>
      <name val="Calibri"/>
      <family val="2"/>
    </font>
    <font>
      <sz val="8"/>
      <color indexed="8"/>
      <name val="Calibri"/>
      <family val="2"/>
    </font>
    <font>
      <sz val="9"/>
      <color indexed="8"/>
      <name val="Calibri"/>
      <family val="2"/>
    </font>
    <font>
      <b/>
      <sz val="11"/>
      <color indexed="10"/>
      <name val="Calibri"/>
      <family val="2"/>
    </font>
    <font>
      <b/>
      <sz val="8"/>
      <color indexed="8"/>
      <name val="Calibri"/>
      <family val="2"/>
    </font>
    <font>
      <sz val="8"/>
      <color indexed="10"/>
      <name val="Calibri"/>
      <family val="2"/>
    </font>
    <font>
      <sz val="8"/>
      <color indexed="17"/>
      <name val="Calibri"/>
      <family val="2"/>
    </font>
    <font>
      <b/>
      <i/>
      <sz val="8"/>
      <name val="Arial"/>
      <family val="2"/>
    </font>
    <font>
      <b/>
      <i/>
      <sz val="11"/>
      <name val="Arial"/>
      <family val="2"/>
    </font>
    <font>
      <b/>
      <sz val="9"/>
      <name val="Arial"/>
      <family val="2"/>
    </font>
    <font>
      <b/>
      <u val="singleAccounting"/>
      <sz val="10"/>
      <name val="Arial"/>
      <family val="2"/>
    </font>
    <font>
      <i/>
      <sz val="8"/>
      <name val="Arial"/>
      <family val="2"/>
    </font>
    <font>
      <sz val="9"/>
      <color indexed="17"/>
      <name val="Arial"/>
      <family val="2"/>
    </font>
    <font>
      <sz val="9"/>
      <color indexed="53"/>
      <name val="Arial"/>
      <family val="2"/>
    </font>
    <font>
      <sz val="10"/>
      <color indexed="53"/>
      <name val="Arial"/>
      <family val="2"/>
    </font>
    <font>
      <sz val="10"/>
      <color indexed="10"/>
      <name val="Calibri"/>
      <family val="2"/>
    </font>
    <font>
      <sz val="11"/>
      <color indexed="8"/>
      <name val="Arial"/>
      <family val="2"/>
    </font>
    <font>
      <sz val="11"/>
      <color indexed="8"/>
      <name val="Arial Narrow"/>
      <family val="2"/>
    </font>
    <font>
      <sz val="11"/>
      <color indexed="10"/>
      <name val="Arial Narrow"/>
      <family val="2"/>
    </font>
    <font>
      <u/>
      <sz val="11"/>
      <color indexed="10"/>
      <name val="Arial Narrow"/>
      <family val="2"/>
    </font>
    <font>
      <u/>
      <sz val="10"/>
      <color indexed="10"/>
      <name val="Arial"/>
      <family val="2"/>
    </font>
    <font>
      <i/>
      <u/>
      <sz val="10"/>
      <color indexed="10"/>
      <name val="Arial"/>
      <family val="2"/>
    </font>
    <font>
      <b/>
      <sz val="11"/>
      <name val="Arial Narrow"/>
      <family val="2"/>
    </font>
    <font>
      <sz val="11"/>
      <name val="Arial Narrow"/>
      <family val="2"/>
    </font>
    <font>
      <sz val="12"/>
      <color indexed="8"/>
      <name val="Calibri"/>
      <family val="2"/>
    </font>
    <font>
      <i/>
      <sz val="9"/>
      <name val="Trebuchet MS"/>
      <family val="2"/>
    </font>
    <font>
      <b/>
      <sz val="9"/>
      <color indexed="8"/>
      <name val="Calibri"/>
      <family val="2"/>
    </font>
    <font>
      <b/>
      <sz val="10"/>
      <color indexed="8"/>
      <name val="Arial"/>
      <family val="2"/>
    </font>
    <font>
      <sz val="9"/>
      <color indexed="81"/>
      <name val="Tahoma"/>
      <family val="2"/>
    </font>
    <font>
      <b/>
      <sz val="9"/>
      <color indexed="81"/>
      <name val="Tahoma"/>
      <family val="2"/>
    </font>
    <font>
      <b/>
      <sz val="11"/>
      <name val="Calibri"/>
      <family val="2"/>
    </font>
    <font>
      <sz val="11"/>
      <color indexed="63"/>
      <name val="Calibri"/>
      <family val="2"/>
    </font>
    <font>
      <u/>
      <sz val="11"/>
      <color indexed="8"/>
      <name val="Calibri"/>
      <family val="2"/>
    </font>
    <font>
      <b/>
      <sz val="11"/>
      <color indexed="59"/>
      <name val="Calibri"/>
      <family val="2"/>
    </font>
    <font>
      <sz val="11"/>
      <name val="Arial"/>
      <family val="2"/>
    </font>
    <font>
      <sz val="8"/>
      <color indexed="8"/>
      <name val="Arial"/>
      <family val="2"/>
    </font>
    <font>
      <sz val="11"/>
      <color indexed="62"/>
      <name val="Calibri"/>
      <family val="2"/>
    </font>
    <font>
      <sz val="11"/>
      <color theme="1"/>
      <name val="Calibri"/>
      <family val="2"/>
      <scheme val="minor"/>
    </font>
    <font>
      <u/>
      <sz val="11"/>
      <color theme="10"/>
      <name val="Calibri"/>
      <family val="2"/>
      <scheme val="minor"/>
    </font>
    <font>
      <sz val="11"/>
      <color rgb="FF006100"/>
      <name val="Calibri"/>
      <family val="2"/>
      <scheme val="minor"/>
    </font>
    <font>
      <sz val="11"/>
      <color theme="0"/>
      <name val="Calibri"/>
      <family val="2"/>
      <scheme val="minor"/>
    </font>
    <font>
      <sz val="11"/>
      <color rgb="FF9C6500"/>
      <name val="Calibri"/>
      <family val="2"/>
      <scheme val="minor"/>
    </font>
    <font>
      <sz val="10"/>
      <color theme="1"/>
      <name val="Arial"/>
      <family val="2"/>
    </font>
    <font>
      <b/>
      <sz val="10"/>
      <color theme="0"/>
      <name val="Arial"/>
      <family val="2"/>
    </font>
    <font>
      <b/>
      <sz val="8"/>
      <name val="Calibri Light"/>
      <family val="2"/>
      <scheme val="major"/>
    </font>
    <font>
      <b/>
      <sz val="12"/>
      <color theme="1"/>
      <name val="Calibri Light"/>
      <family val="2"/>
      <scheme val="major"/>
    </font>
    <font>
      <b/>
      <sz val="12"/>
      <name val="Calibri Light"/>
      <family val="2"/>
      <scheme val="major"/>
    </font>
    <font>
      <sz val="10"/>
      <color theme="1"/>
      <name val="Calibri"/>
      <family val="2"/>
      <scheme val="minor"/>
    </font>
    <font>
      <b/>
      <sz val="11"/>
      <color rgb="FF949494"/>
      <name val="Calibri"/>
      <family val="2"/>
    </font>
    <font>
      <b/>
      <sz val="11"/>
      <color theme="0"/>
      <name val="Calibri"/>
      <family val="2"/>
      <scheme val="minor"/>
    </font>
    <font>
      <sz val="11"/>
      <color rgb="FFFF0000"/>
      <name val="Calibri"/>
      <family val="2"/>
      <scheme val="minor"/>
    </font>
    <font>
      <b/>
      <sz val="11"/>
      <color rgb="FFFF0000"/>
      <name val="Calibri"/>
      <family val="2"/>
      <scheme val="minor"/>
    </font>
    <font>
      <b/>
      <sz val="18"/>
      <color rgb="FF002060"/>
      <name val="Calibri"/>
      <family val="2"/>
      <scheme val="minor"/>
    </font>
    <font>
      <b/>
      <sz val="8"/>
      <color theme="1"/>
      <name val="Calibri"/>
      <family val="2"/>
      <scheme val="minor"/>
    </font>
    <font>
      <sz val="8"/>
      <color theme="1"/>
      <name val="Calibri"/>
      <family val="2"/>
      <scheme val="minor"/>
    </font>
    <font>
      <sz val="8"/>
      <color theme="1"/>
      <name val="Calibri"/>
      <family val="2"/>
    </font>
    <font>
      <sz val="9"/>
      <color theme="1"/>
      <name val="Calibri"/>
      <family val="2"/>
      <scheme val="minor"/>
    </font>
    <font>
      <sz val="8"/>
      <name val="Calibri"/>
      <family val="2"/>
      <scheme val="minor"/>
    </font>
    <font>
      <sz val="9"/>
      <color rgb="FF00B050"/>
      <name val="Calibri"/>
      <family val="2"/>
      <scheme val="minor"/>
    </font>
    <font>
      <sz val="10"/>
      <color rgb="FFFF0000"/>
      <name val="Arial"/>
      <family val="2"/>
    </font>
    <font>
      <sz val="10"/>
      <color rgb="FF000000"/>
      <name val="Arial"/>
      <family val="2"/>
    </font>
    <font>
      <sz val="10"/>
      <color rgb="FFFF0000"/>
      <name val="Calibri"/>
      <family val="2"/>
      <scheme val="minor"/>
    </font>
    <font>
      <b/>
      <sz val="16"/>
      <color theme="1"/>
      <name val="Calibri"/>
      <family val="2"/>
      <scheme val="minor"/>
    </font>
    <font>
      <b/>
      <sz val="14"/>
      <color theme="0"/>
      <name val="Calibri"/>
      <family val="2"/>
      <scheme val="minor"/>
    </font>
    <font>
      <sz val="11"/>
      <color theme="1"/>
      <name val="Arial Narrow"/>
      <family val="2"/>
    </font>
    <font>
      <sz val="11"/>
      <color rgb="FF1C1C1C"/>
      <name val="Arial Narrow"/>
      <family val="2"/>
    </font>
    <font>
      <sz val="11"/>
      <color rgb="FF1E1C11"/>
      <name val="Arial Narrow"/>
      <family val="2"/>
    </font>
    <font>
      <b/>
      <sz val="11"/>
      <color theme="1"/>
      <name val="Calibri"/>
      <family val="2"/>
      <scheme val="minor"/>
    </font>
    <font>
      <b/>
      <sz val="12"/>
      <color rgb="FF000000"/>
      <name val="Calibri"/>
      <family val="2"/>
      <scheme val="minor"/>
    </font>
    <font>
      <sz val="12"/>
      <color rgb="FF000000"/>
      <name val="Calibri"/>
      <family val="2"/>
      <scheme val="minor"/>
    </font>
    <font>
      <b/>
      <sz val="12"/>
      <color rgb="FF000000"/>
      <name val="Calibri"/>
      <family val="2"/>
    </font>
    <font>
      <b/>
      <sz val="12"/>
      <color theme="1"/>
      <name val="Calibri"/>
      <family val="2"/>
      <scheme val="minor"/>
    </font>
    <font>
      <b/>
      <sz val="10"/>
      <color theme="1"/>
      <name val="Calibri"/>
      <family val="2"/>
      <scheme val="minor"/>
    </font>
    <font>
      <sz val="11"/>
      <color theme="1"/>
      <name val="Calibri"/>
      <family val="2"/>
    </font>
    <font>
      <sz val="14"/>
      <color rgb="FF1E1C11"/>
      <name val="Arial Narrow"/>
      <family val="2"/>
    </font>
    <font>
      <sz val="10"/>
      <color rgb="FF1E1C11"/>
      <name val="Calibri"/>
      <family val="2"/>
      <scheme val="minor"/>
    </font>
    <font>
      <sz val="11"/>
      <color rgb="FF1E1C11"/>
      <name val="Calibri"/>
      <family val="2"/>
      <scheme val="minor"/>
    </font>
    <font>
      <sz val="11"/>
      <color rgb="FF000000"/>
      <name val="Arial Narrow"/>
      <family val="2"/>
    </font>
    <font>
      <sz val="11"/>
      <color rgb="FFFF0000"/>
      <name val="Arial Narrow"/>
      <family val="2"/>
    </font>
    <font>
      <sz val="9"/>
      <color rgb="FF000000"/>
      <name val="Trebuchet MS"/>
      <family val="2"/>
    </font>
    <font>
      <sz val="11"/>
      <color theme="1"/>
      <name val="Arial"/>
      <family val="2"/>
    </font>
    <font>
      <sz val="11"/>
      <color theme="0"/>
      <name val="Arial"/>
      <family val="2"/>
    </font>
    <font>
      <b/>
      <sz val="16"/>
      <color theme="1"/>
      <name val="Arial"/>
      <family val="2"/>
    </font>
    <font>
      <b/>
      <sz val="14"/>
      <color theme="0"/>
      <name val="Arial"/>
      <family val="2"/>
    </font>
    <font>
      <sz val="14"/>
      <color theme="1"/>
      <name val="Arial"/>
      <family val="2"/>
    </font>
    <font>
      <sz val="10"/>
      <color rgb="FF1E1C11"/>
      <name val="Arial"/>
      <family val="2"/>
    </font>
    <font>
      <sz val="10"/>
      <color rgb="FF1C1C1C"/>
      <name val="Arial"/>
      <family val="2"/>
    </font>
    <font>
      <sz val="14"/>
      <color theme="0"/>
      <name val="Arial"/>
      <family val="2"/>
    </font>
    <font>
      <b/>
      <sz val="9"/>
      <color theme="0"/>
      <name val="Calibri"/>
      <family val="2"/>
      <scheme val="minor"/>
    </font>
    <font>
      <b/>
      <sz val="11"/>
      <color theme="1"/>
      <name val="Arial"/>
      <family val="2"/>
    </font>
    <font>
      <sz val="12"/>
      <color theme="1"/>
      <name val="Arial"/>
      <family val="2"/>
    </font>
    <font>
      <b/>
      <sz val="12"/>
      <color theme="0"/>
      <name val="Arial"/>
      <family val="2"/>
    </font>
    <font>
      <sz val="12"/>
      <color theme="0"/>
      <name val="Arial"/>
      <family val="2"/>
    </font>
    <font>
      <sz val="11"/>
      <name val="Calibri"/>
      <family val="2"/>
      <scheme val="minor"/>
    </font>
    <font>
      <b/>
      <sz val="11"/>
      <name val="Calibri"/>
      <family val="2"/>
      <scheme val="minor"/>
    </font>
    <font>
      <sz val="11"/>
      <color theme="0" tint="-0.249977111117893"/>
      <name val="Calibri"/>
      <family val="2"/>
      <scheme val="minor"/>
    </font>
    <font>
      <sz val="11"/>
      <color rgb="FF1C1C1C"/>
      <name val="Calibri"/>
      <family val="2"/>
      <scheme val="minor"/>
    </font>
    <font>
      <sz val="9"/>
      <color theme="0"/>
      <name val="Calibri"/>
      <family val="2"/>
      <scheme val="minor"/>
    </font>
    <font>
      <b/>
      <sz val="11"/>
      <color theme="0"/>
      <name val="Arial"/>
      <family val="2"/>
    </font>
    <font>
      <sz val="8"/>
      <color theme="1"/>
      <name val="Arial"/>
      <family val="2"/>
    </font>
    <font>
      <sz val="14"/>
      <color theme="1"/>
      <name val="Calibri"/>
      <family val="2"/>
      <scheme val="minor"/>
    </font>
    <font>
      <sz val="9"/>
      <name val="Calibri"/>
      <family val="2"/>
      <scheme val="minor"/>
    </font>
    <font>
      <sz val="11"/>
      <color theme="8" tint="-0.249977111117893"/>
      <name val="Calibri"/>
      <family val="2"/>
      <scheme val="minor"/>
    </font>
    <font>
      <sz val="11"/>
      <color rgb="FF1C1C1C"/>
      <name val="Arial"/>
      <family val="2"/>
    </font>
    <font>
      <sz val="11"/>
      <color theme="1"/>
      <name val="Calibri Light"/>
      <family val="2"/>
      <scheme val="major"/>
    </font>
    <font>
      <sz val="11"/>
      <name val="Calibri Light"/>
      <family val="2"/>
      <scheme val="major"/>
    </font>
    <font>
      <sz val="10"/>
      <color theme="5" tint="0.79998168889431442"/>
      <name val="Arial"/>
      <family val="2"/>
    </font>
    <font>
      <sz val="11"/>
      <color theme="5" tint="0.79998168889431442"/>
      <name val="Calibri"/>
      <family val="2"/>
      <scheme val="minor"/>
    </font>
    <font>
      <sz val="10"/>
      <name val="Calibri"/>
      <family val="2"/>
      <scheme val="minor"/>
    </font>
    <font>
      <sz val="11"/>
      <color rgb="FF000000"/>
      <name val="Calibri"/>
      <family val="2"/>
      <scheme val="minor"/>
    </font>
    <font>
      <b/>
      <sz val="12"/>
      <color theme="0"/>
      <name val="Calibri"/>
      <family val="2"/>
      <scheme val="minor"/>
    </font>
    <font>
      <sz val="10"/>
      <color rgb="FF000000"/>
      <name val="Calibri"/>
      <family val="2"/>
      <scheme val="minor"/>
    </font>
    <font>
      <b/>
      <sz val="15"/>
      <color rgb="FF000000"/>
      <name val="Calibri"/>
      <family val="2"/>
      <scheme val="minor"/>
    </font>
    <font>
      <sz val="10"/>
      <color rgb="FF1E1C11"/>
      <name val="Arial Narrow"/>
      <family val="2"/>
    </font>
    <font>
      <sz val="14"/>
      <color rgb="FF000000"/>
      <name val="Arial Narrow"/>
      <family val="2"/>
    </font>
    <font>
      <sz val="10"/>
      <color rgb="FF000000"/>
      <name val="Arial Narrow"/>
      <family val="2"/>
    </font>
    <font>
      <b/>
      <sz val="14"/>
      <color rgb="FF000000"/>
      <name val="Arial Narrow"/>
      <family val="2"/>
    </font>
    <font>
      <sz val="14"/>
      <color rgb="FF000000"/>
      <name val="Calibri"/>
      <family val="2"/>
      <scheme val="minor"/>
    </font>
    <font>
      <b/>
      <sz val="9"/>
      <color theme="1"/>
      <name val="Calibri"/>
      <family val="2"/>
      <scheme val="minor"/>
    </font>
    <font>
      <b/>
      <i/>
      <sz val="12"/>
      <color theme="1"/>
      <name val="Calibri"/>
      <family val="2"/>
      <scheme val="minor"/>
    </font>
    <font>
      <b/>
      <sz val="8"/>
      <color theme="0"/>
      <name val="Calibri"/>
      <family val="2"/>
      <scheme val="minor"/>
    </font>
    <font>
      <b/>
      <sz val="9"/>
      <name val="Calibri"/>
      <family val="2"/>
      <scheme val="minor"/>
    </font>
  </fonts>
  <fills count="44">
    <fill>
      <patternFill patternType="none"/>
    </fill>
    <fill>
      <patternFill patternType="gray125"/>
    </fill>
    <fill>
      <patternFill patternType="solid">
        <fgColor indexed="27"/>
        <bgColor indexed="64"/>
      </patternFill>
    </fill>
    <fill>
      <patternFill patternType="solid">
        <fgColor indexed="9"/>
        <bgColor indexed="64"/>
      </patternFill>
    </fill>
    <fill>
      <patternFill patternType="solid">
        <fgColor rgb="FFC6EFCE"/>
      </patternFill>
    </fill>
    <fill>
      <patternFill patternType="solid">
        <fgColor theme="8"/>
      </patternFill>
    </fill>
    <fill>
      <patternFill patternType="solid">
        <fgColor theme="8" tint="0.79998168889431442"/>
        <bgColor indexed="65"/>
      </patternFill>
    </fill>
    <fill>
      <patternFill patternType="solid">
        <fgColor rgb="FFFFEB9C"/>
      </patternFill>
    </fill>
    <fill>
      <patternFill patternType="solid">
        <fgColor theme="4"/>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CCFF"/>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CCFF"/>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bgColor indexed="64"/>
      </patternFill>
    </fill>
    <fill>
      <patternFill patternType="solid">
        <fgColor theme="8"/>
        <bgColor indexed="64"/>
      </patternFill>
    </fill>
    <fill>
      <patternFill patternType="solid">
        <fgColor theme="4" tint="-0.249977111117893"/>
        <bgColor indexed="64"/>
      </patternFill>
    </fill>
    <fill>
      <patternFill patternType="solid">
        <fgColor rgb="FFE7F6FF"/>
        <bgColor indexed="64"/>
      </patternFill>
    </fill>
    <fill>
      <patternFill patternType="solid">
        <fgColor rgb="FF00B0F0"/>
        <bgColor indexed="64"/>
      </patternFill>
    </fill>
    <fill>
      <patternFill patternType="solid">
        <fgColor theme="4" tint="0.39997558519241921"/>
        <bgColor indexed="64"/>
      </patternFill>
    </fill>
  </fills>
  <borders count="277">
    <border>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slantDashDot">
        <color indexed="64"/>
      </left>
      <right style="medium">
        <color indexed="64"/>
      </right>
      <top style="medium">
        <color indexed="64"/>
      </top>
      <bottom style="slantDashDot">
        <color indexed="64"/>
      </bottom>
      <diagonal/>
    </border>
    <border>
      <left style="medium">
        <color indexed="64"/>
      </left>
      <right style="slantDashDot">
        <color indexed="64"/>
      </right>
      <top style="slantDashDot">
        <color indexed="64"/>
      </top>
      <bottom style="slantDashDot">
        <color indexed="64"/>
      </bottom>
      <diagonal/>
    </border>
    <border>
      <left style="slantDashDot">
        <color indexed="64"/>
      </left>
      <right style="slantDashDot">
        <color indexed="64"/>
      </right>
      <top style="slantDashDot">
        <color indexed="64"/>
      </top>
      <bottom style="slantDashDot">
        <color indexed="64"/>
      </bottom>
      <diagonal/>
    </border>
    <border>
      <left style="slantDashDot">
        <color indexed="64"/>
      </left>
      <right style="medium">
        <color indexed="64"/>
      </right>
      <top style="slantDashDot">
        <color indexed="64"/>
      </top>
      <bottom style="slantDashDot">
        <color indexed="64"/>
      </bottom>
      <diagonal/>
    </border>
    <border>
      <left style="medium">
        <color indexed="64"/>
      </left>
      <right style="slantDashDot">
        <color indexed="64"/>
      </right>
      <top style="slantDashDot">
        <color indexed="64"/>
      </top>
      <bottom style="medium">
        <color indexed="64"/>
      </bottom>
      <diagonal/>
    </border>
    <border>
      <left style="slantDashDot">
        <color indexed="64"/>
      </left>
      <right style="slantDashDot">
        <color indexed="64"/>
      </right>
      <top style="slantDashDot">
        <color indexed="64"/>
      </top>
      <bottom style="medium">
        <color indexed="64"/>
      </bottom>
      <diagonal/>
    </border>
    <border>
      <left style="slantDashDot">
        <color indexed="64"/>
      </left>
      <right style="medium">
        <color indexed="64"/>
      </right>
      <top style="slantDashDot">
        <color indexed="64"/>
      </top>
      <bottom style="medium">
        <color indexed="64"/>
      </bottom>
      <diagonal/>
    </border>
    <border>
      <left/>
      <right/>
      <top style="slantDashDot">
        <color indexed="64"/>
      </top>
      <bottom/>
      <diagonal/>
    </border>
    <border>
      <left style="medium">
        <color indexed="64"/>
      </left>
      <right style="slantDashDot">
        <color indexed="64"/>
      </right>
      <top style="thin">
        <color indexed="64"/>
      </top>
      <bottom style="slantDashDot">
        <color indexed="64"/>
      </bottom>
      <diagonal/>
    </border>
    <border>
      <left style="slantDashDot">
        <color indexed="64"/>
      </left>
      <right style="slantDashDot">
        <color indexed="64"/>
      </right>
      <top style="thin">
        <color indexed="64"/>
      </top>
      <bottom style="slantDashDot">
        <color indexed="64"/>
      </bottom>
      <diagonal/>
    </border>
    <border>
      <left style="medium">
        <color indexed="64"/>
      </left>
      <right style="slantDashDot">
        <color indexed="64"/>
      </right>
      <top style="medium">
        <color indexed="64"/>
      </top>
      <bottom style="slantDashDot">
        <color indexed="64"/>
      </bottom>
      <diagonal/>
    </border>
    <border>
      <left style="slantDashDot">
        <color indexed="64"/>
      </left>
      <right style="slantDashDot">
        <color indexed="64"/>
      </right>
      <top style="medium">
        <color indexed="64"/>
      </top>
      <bottom style="slantDashDot">
        <color indexed="64"/>
      </bottom>
      <diagonal/>
    </border>
    <border>
      <left style="medium">
        <color indexed="64"/>
      </left>
      <right style="slantDashDot">
        <color indexed="64"/>
      </right>
      <top style="slantDashDot">
        <color indexed="64"/>
      </top>
      <bottom/>
      <diagonal/>
    </border>
    <border>
      <left style="slantDashDot">
        <color indexed="64"/>
      </left>
      <right style="slantDashDot">
        <color indexed="64"/>
      </right>
      <top style="slantDashDot">
        <color indexed="64"/>
      </top>
      <bottom/>
      <diagonal/>
    </border>
    <border>
      <left style="slantDashDot">
        <color indexed="64"/>
      </left>
      <right style="medium">
        <color indexed="64"/>
      </right>
      <top style="slantDashDot">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slantDashDot">
        <color indexed="64"/>
      </right>
      <top/>
      <bottom/>
      <diagonal/>
    </border>
    <border>
      <left style="slantDashDot">
        <color indexed="64"/>
      </left>
      <right style="slantDashDot">
        <color indexed="64"/>
      </right>
      <top/>
      <bottom/>
      <diagonal/>
    </border>
    <border>
      <left style="slantDashDot">
        <color indexed="64"/>
      </left>
      <right/>
      <top/>
      <bottom/>
      <diagonal/>
    </border>
    <border>
      <left style="slantDashDot">
        <color indexed="64"/>
      </left>
      <right style="medium">
        <color indexed="64"/>
      </right>
      <top/>
      <bottom/>
      <diagonal/>
    </border>
    <border>
      <left style="medium">
        <color indexed="64"/>
      </left>
      <right style="slantDashDot">
        <color indexed="64"/>
      </right>
      <top/>
      <bottom style="slantDashDot">
        <color indexed="64"/>
      </bottom>
      <diagonal/>
    </border>
    <border>
      <left style="slantDashDot">
        <color indexed="64"/>
      </left>
      <right style="slantDashDot">
        <color indexed="64"/>
      </right>
      <top/>
      <bottom style="slantDashDot">
        <color indexed="64"/>
      </bottom>
      <diagonal/>
    </border>
    <border>
      <left style="slantDashDot">
        <color indexed="64"/>
      </left>
      <right/>
      <top style="slantDashDot">
        <color indexed="64"/>
      </top>
      <bottom/>
      <diagonal/>
    </border>
    <border>
      <left style="thin">
        <color indexed="64"/>
      </left>
      <right style="medium">
        <color indexed="64"/>
      </right>
      <top style="thin">
        <color indexed="64"/>
      </top>
      <bottom/>
      <diagonal/>
    </border>
    <border>
      <left style="medium">
        <color indexed="64"/>
      </left>
      <right style="medium">
        <color indexed="64"/>
      </right>
      <top style="slantDashDot">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medium">
        <color indexed="64"/>
      </left>
      <right/>
      <top/>
      <bottom style="thin">
        <color indexed="64"/>
      </bottom>
      <diagonal/>
    </border>
    <border>
      <left/>
      <right/>
      <top/>
      <bottom style="medium">
        <color indexed="64"/>
      </bottom>
      <diagonal/>
    </border>
    <border>
      <left style="medium">
        <color rgb="FF949494"/>
      </left>
      <right style="medium">
        <color rgb="FF949494"/>
      </right>
      <top style="medium">
        <color rgb="FF949494"/>
      </top>
      <bottom style="medium">
        <color rgb="FF949494"/>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medium">
        <color theme="0" tint="-0.14996795556505021"/>
      </top>
      <bottom style="thin">
        <color indexed="64"/>
      </bottom>
      <diagonal/>
    </border>
    <border>
      <left style="medium">
        <color theme="0" tint="-0.14996795556505021"/>
      </left>
      <right style="thin">
        <color indexed="64"/>
      </right>
      <top style="medium">
        <color theme="0" tint="-0.14996795556505021"/>
      </top>
      <bottom style="thin">
        <color indexed="64"/>
      </bottom>
      <diagonal/>
    </border>
    <border>
      <left style="medium">
        <color theme="0" tint="-0.14996795556505021"/>
      </left>
      <right style="medium">
        <color theme="0" tint="-0.14996795556505021"/>
      </right>
      <top style="thin">
        <color indexed="64"/>
      </top>
      <bottom style="thin">
        <color indexed="64"/>
      </bottom>
      <diagonal/>
    </border>
    <border>
      <left style="medium">
        <color theme="0" tint="-0.14996795556505021"/>
      </left>
      <right style="thin">
        <color indexed="64"/>
      </right>
      <top style="thin">
        <color indexed="64"/>
      </top>
      <bottom style="thin">
        <color indexed="64"/>
      </bottom>
      <diagonal/>
    </border>
    <border>
      <left style="thin">
        <color indexed="64"/>
      </left>
      <right style="medium">
        <color theme="0" tint="-0.14996795556505021"/>
      </right>
      <top style="thin">
        <color indexed="64"/>
      </top>
      <bottom style="medium">
        <color theme="0" tint="-0.14996795556505021"/>
      </bottom>
      <diagonal/>
    </border>
    <border>
      <left style="thin">
        <color indexed="64"/>
      </left>
      <right style="medium">
        <color theme="0" tint="-0.14996795556505021"/>
      </right>
      <top style="medium">
        <color theme="0" tint="-0.14996795556505021"/>
      </top>
      <bottom style="medium">
        <color theme="0" tint="-0.14996795556505021"/>
      </bottom>
      <diagonal/>
    </border>
    <border>
      <left style="thin">
        <color indexed="64"/>
      </left>
      <right style="medium">
        <color theme="0" tint="-0.14996795556505021"/>
      </right>
      <top style="medium">
        <color theme="0" tint="-0.14996795556505021"/>
      </top>
      <bottom style="thin">
        <color indexed="64"/>
      </bottom>
      <diagonal/>
    </border>
    <border>
      <left style="thin">
        <color indexed="64"/>
      </left>
      <right style="medium">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14996795556505021"/>
      </left>
      <right style="thin">
        <color indexed="64"/>
      </right>
      <top/>
      <bottom style="thin">
        <color indexed="64"/>
      </bottom>
      <diagonal/>
    </border>
    <border>
      <left style="thin">
        <color indexed="64"/>
      </left>
      <right/>
      <top style="thin">
        <color indexed="64"/>
      </top>
      <bottom style="thin">
        <color theme="0" tint="-0.14996795556505021"/>
      </bottom>
      <diagonal/>
    </border>
    <border>
      <left style="thin">
        <color theme="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style="thin">
        <color theme="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indexed="64"/>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indexed="64"/>
      </right>
      <top style="thin">
        <color theme="1"/>
      </top>
      <bottom style="thin">
        <color theme="0" tint="-0.24994659260841701"/>
      </bottom>
      <diagonal/>
    </border>
    <border>
      <left/>
      <right style="thin">
        <color theme="0" tint="-0.14996795556505021"/>
      </right>
      <top/>
      <bottom style="thin">
        <color indexed="64"/>
      </bottom>
      <diagonal/>
    </border>
    <border>
      <left style="thin">
        <color theme="0" tint="-0.14996795556505021"/>
      </left>
      <right style="thin">
        <color theme="0" tint="-0.14996795556505021"/>
      </right>
      <top/>
      <bottom style="thin">
        <color indexed="64"/>
      </bottom>
      <diagonal/>
    </border>
    <border>
      <left/>
      <right style="thin">
        <color theme="0" tint="-0.14996795556505021"/>
      </right>
      <top style="thin">
        <color indexed="64"/>
      </top>
      <bottom style="thin">
        <color indexed="64"/>
      </bottom>
      <diagonal/>
    </border>
    <border>
      <left style="thin">
        <color indexed="64"/>
      </left>
      <right style="thin">
        <color theme="0" tint="-0.14996795556505021"/>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style="thin">
        <color indexed="64"/>
      </top>
      <bottom style="thin">
        <color theme="0" tint="-0.24994659260841701"/>
      </bottom>
      <diagonal/>
    </border>
    <border>
      <left/>
      <right style="dashed">
        <color theme="0" tint="-0.24994659260841701"/>
      </right>
      <top style="thin">
        <color indexed="64"/>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thin">
        <color indexed="64"/>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14996795556505021"/>
      </left>
      <right style="thin">
        <color theme="0" tint="-0.14996795556505021"/>
      </right>
      <top style="thin">
        <color indexed="64"/>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14996795556505021"/>
      </left>
      <right/>
      <top style="thin">
        <color theme="0" tint="-0.14996795556505021"/>
      </top>
      <bottom style="thin">
        <color indexed="64"/>
      </bottom>
      <diagonal/>
    </border>
    <border>
      <left style="thin">
        <color theme="0" tint="-0.14993743705557422"/>
      </left>
      <right style="thin">
        <color indexed="64"/>
      </right>
      <top style="thin">
        <color indexed="64"/>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indexed="64"/>
      </bottom>
      <diagonal/>
    </border>
    <border>
      <left style="thin">
        <color theme="0" tint="-0.14996795556505021"/>
      </left>
      <right/>
      <top style="thin">
        <color indexed="64"/>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theme="0" tint="-0.34998626667073579"/>
      </top>
      <bottom style="double">
        <color indexed="64"/>
      </bottom>
      <diagonal/>
    </border>
    <border>
      <left style="thin">
        <color theme="0" tint="-0.14996795556505021"/>
      </left>
      <right/>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style="thin">
        <color theme="0" tint="-0.14993743705557422"/>
      </left>
      <right style="thin">
        <color indexed="64"/>
      </right>
      <top/>
      <bottom style="thin">
        <color indexed="64"/>
      </bottom>
      <diagonal/>
    </border>
    <border>
      <left style="thin">
        <color theme="0" tint="-0.24994659260841701"/>
      </left>
      <right style="thin">
        <color theme="0" tint="-0.24994659260841701"/>
      </right>
      <top style="thin">
        <color indexed="64"/>
      </top>
      <bottom/>
      <diagonal/>
    </border>
    <border>
      <left style="thin">
        <color theme="0" tint="-0.14993743705557422"/>
      </left>
      <right style="thin">
        <color theme="0" tint="-0.14993743705557422"/>
      </right>
      <top/>
      <bottom style="thin">
        <color indexed="64"/>
      </bottom>
      <diagonal/>
    </border>
    <border>
      <left/>
      <right style="thin">
        <color theme="0" tint="-0.24994659260841701"/>
      </right>
      <top style="thin">
        <color theme="0" tint="-0.24994659260841701"/>
      </top>
      <bottom/>
      <diagonal/>
    </border>
    <border>
      <left style="thin">
        <color theme="1"/>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0" tint="-0.14996795556505021"/>
      </left>
      <right style="thin">
        <color theme="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theme="0" tint="-0.14996795556505021"/>
      </left>
      <right style="thin">
        <color theme="1"/>
      </right>
      <top style="thin">
        <color theme="0" tint="-0.14996795556505021"/>
      </top>
      <bottom style="thin">
        <color theme="1"/>
      </bottom>
      <diagonal/>
    </border>
    <border>
      <left/>
      <right style="thin">
        <color theme="0" tint="-0.14996795556505021"/>
      </right>
      <top style="thin">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indexed="64"/>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top style="thin">
        <color indexed="64"/>
      </top>
      <bottom style="thin">
        <color theme="0" tint="-0.24994659260841701"/>
      </bottom>
      <diagonal/>
    </border>
    <border>
      <left style="thin">
        <color theme="0" tint="-0.14993743705557422"/>
      </left>
      <right style="thin">
        <color indexed="64"/>
      </right>
      <top style="thin">
        <color indexed="64"/>
      </top>
      <bottom style="thin">
        <color theme="0" tint="-0.24994659260841701"/>
      </bottom>
      <diagonal/>
    </border>
    <border>
      <left style="thin">
        <color indexed="64"/>
      </left>
      <right style="thin">
        <color theme="0" tint="-0.14996795556505021"/>
      </right>
      <top style="thin">
        <color theme="0" tint="-0.24994659260841701"/>
      </top>
      <bottom style="thin">
        <color indexed="64"/>
      </bottom>
      <diagonal/>
    </border>
    <border>
      <left style="thin">
        <color theme="0" tint="-0.14996795556505021"/>
      </left>
      <right style="thin">
        <color theme="0" tint="-0.14996795556505021"/>
      </right>
      <top style="thin">
        <color theme="0" tint="-0.24994659260841701"/>
      </top>
      <bottom style="thin">
        <color indexed="64"/>
      </bottom>
      <diagonal/>
    </border>
    <border>
      <left style="thin">
        <color theme="0" tint="-0.14996795556505021"/>
      </left>
      <right/>
      <top style="thin">
        <color theme="0" tint="-0.24994659260841701"/>
      </top>
      <bottom style="thin">
        <color indexed="64"/>
      </bottom>
      <diagonal/>
    </border>
    <border>
      <left style="thin">
        <color theme="0" tint="-0.14993743705557422"/>
      </left>
      <right style="thin">
        <color indexed="64"/>
      </right>
      <top style="thin">
        <color theme="0" tint="-0.24994659260841701"/>
      </top>
      <bottom style="thin">
        <color indexed="64"/>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indexed="64"/>
      </top>
      <bottom/>
      <diagonal/>
    </border>
    <border>
      <left style="thin">
        <color indexed="64"/>
      </left>
      <right style="thin">
        <color theme="0" tint="-0.14996795556505021"/>
      </right>
      <top/>
      <bottom/>
      <diagonal/>
    </border>
    <border>
      <left style="thin">
        <color indexed="64"/>
      </left>
      <right style="thin">
        <color theme="0" tint="-0.24994659260841701"/>
      </right>
      <top/>
      <bottom style="thin">
        <color indexed="64"/>
      </bottom>
      <diagonal/>
    </border>
    <border>
      <left style="thin">
        <color theme="0" tint="-0.14996795556505021"/>
      </left>
      <right style="thin">
        <color theme="0" tint="-0.14993743705557422"/>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diagonal/>
    </border>
    <border>
      <left style="thin">
        <color theme="1"/>
      </left>
      <right style="thin">
        <color theme="1"/>
      </right>
      <top style="thin">
        <color theme="1"/>
      </top>
      <bottom style="thin">
        <color theme="1"/>
      </bottom>
      <diagonal/>
    </border>
    <border>
      <left style="thin">
        <color theme="0" tint="-0.14996795556505021"/>
      </left>
      <right style="thin">
        <color theme="1"/>
      </right>
      <top style="thin">
        <color indexed="64"/>
      </top>
      <bottom style="thin">
        <color theme="0" tint="-0.14996795556505021"/>
      </bottom>
      <diagonal/>
    </border>
    <border>
      <left style="thin">
        <color theme="0" tint="-0.14996795556505021"/>
      </left>
      <right style="thin">
        <color theme="1"/>
      </right>
      <top style="thin">
        <color theme="0" tint="-0.14996795556505021"/>
      </top>
      <bottom/>
      <diagonal/>
    </border>
    <border>
      <left style="thin">
        <color theme="1"/>
      </left>
      <right style="thin">
        <color theme="1"/>
      </right>
      <top style="thin">
        <color theme="1"/>
      </top>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top/>
      <bottom style="thin">
        <color theme="8" tint="0.59996337778862885"/>
      </bottom>
      <diagonal/>
    </border>
    <border>
      <left/>
      <right/>
      <top/>
      <bottom style="thin">
        <color theme="8" tint="0.59996337778862885"/>
      </bottom>
      <diagonal/>
    </border>
    <border>
      <left/>
      <right style="thin">
        <color theme="0" tint="-0.24994659260841701"/>
      </right>
      <top/>
      <bottom style="thin">
        <color theme="8" tint="0.59996337778862885"/>
      </bottom>
      <diagonal/>
    </border>
    <border>
      <left style="thin">
        <color indexed="64"/>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0" tint="-0.24994659260841701"/>
      </right>
      <top style="thin">
        <color theme="8" tint="0.59996337778862885"/>
      </top>
      <bottom style="thin">
        <color theme="8" tint="0.59996337778862885"/>
      </bottom>
      <diagonal/>
    </border>
    <border>
      <left style="thin">
        <color indexed="64"/>
      </left>
      <right/>
      <top style="thin">
        <color theme="8" tint="0.59996337778862885"/>
      </top>
      <bottom/>
      <diagonal/>
    </border>
    <border>
      <left/>
      <right/>
      <top style="thin">
        <color theme="8" tint="0.59996337778862885"/>
      </top>
      <bottom/>
      <diagonal/>
    </border>
    <border>
      <left/>
      <right style="thin">
        <color theme="0" tint="-0.24994659260841701"/>
      </right>
      <top style="thin">
        <color theme="8" tint="0.59996337778862885"/>
      </top>
      <bottom/>
      <diagonal/>
    </border>
    <border>
      <left style="thin">
        <color indexed="64"/>
      </left>
      <right style="thin">
        <color indexed="64"/>
      </right>
      <top style="thin">
        <color theme="0" tint="-0.24994659260841701"/>
      </top>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style="thin">
        <color rgb="FF3F3F3F"/>
      </left>
      <right style="thin">
        <color rgb="FF3F3F3F"/>
      </right>
      <top style="thin">
        <color rgb="FF3F3F3F"/>
      </top>
      <bottom style="thin">
        <color rgb="FF3F3F3F"/>
      </bottom>
      <diagonal/>
    </border>
    <border>
      <left style="thin">
        <color rgb="FF3F3F3F"/>
      </left>
      <right/>
      <top/>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3F3F3F"/>
      </right>
      <top/>
      <bottom/>
      <diagonal/>
    </border>
    <border>
      <left/>
      <right/>
      <top/>
      <bottom style="thin">
        <color theme="0" tint="-0.1499679555650502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indexed="64"/>
      </bottom>
      <diagonal/>
    </border>
    <border>
      <left style="dashed">
        <color theme="0" tint="-0.24994659260841701"/>
      </left>
      <right style="thin">
        <color indexed="64"/>
      </right>
      <top style="thin">
        <color indexed="64"/>
      </top>
      <bottom style="dashed">
        <color theme="0" tint="-0.24994659260841701"/>
      </bottom>
      <diagonal/>
    </border>
    <border>
      <left style="dashed">
        <color theme="0" tint="-0.24994659260841701"/>
      </left>
      <right style="thin">
        <color indexed="64"/>
      </right>
      <top style="dashed">
        <color theme="0" tint="-0.24994659260841701"/>
      </top>
      <bottom style="dashed">
        <color theme="0" tint="-0.24994659260841701"/>
      </bottom>
      <diagonal/>
    </border>
    <border>
      <left style="dashed">
        <color theme="0" tint="-0.24994659260841701"/>
      </left>
      <right style="thin">
        <color indexed="64"/>
      </right>
      <top style="dashed">
        <color theme="0" tint="-0.24994659260841701"/>
      </top>
      <bottom style="thin">
        <color indexed="64"/>
      </bottom>
      <diagonal/>
    </border>
    <border>
      <left style="dashed">
        <color theme="0" tint="-0.24994659260841701"/>
      </left>
      <right style="dashed">
        <color theme="0" tint="-0.24994659260841701"/>
      </right>
      <top style="thin">
        <color indexed="64"/>
      </top>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thin">
        <color indexed="64"/>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left>
      <right/>
      <top/>
      <bottom/>
      <diagonal/>
    </border>
    <border>
      <left style="thin">
        <color theme="0" tint="-0.14996795556505021"/>
      </left>
      <right style="thin">
        <color theme="1"/>
      </right>
      <top style="thin">
        <color indexed="64"/>
      </top>
      <bottom/>
      <diagonal/>
    </border>
    <border>
      <left style="thin">
        <color theme="0" tint="-0.14996795556505021"/>
      </left>
      <right style="thin">
        <color theme="1"/>
      </right>
      <top/>
      <bottom/>
      <diagonal/>
    </border>
    <border>
      <left style="thin">
        <color theme="0" tint="-0.14996795556505021"/>
      </left>
      <right style="thin">
        <color theme="1"/>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bottom/>
      <diagonal/>
    </border>
    <border>
      <left style="thin">
        <color theme="0" tint="-0.14996795556505021"/>
      </left>
      <right/>
      <top style="thin">
        <color indexed="64"/>
      </top>
      <bottom/>
      <diagonal/>
    </border>
    <border>
      <left style="thin">
        <color theme="0" tint="-0.14996795556505021"/>
      </left>
      <right/>
      <top/>
      <bottom/>
      <diagonal/>
    </border>
    <border>
      <left style="thin">
        <color rgb="FF3F3F3F"/>
      </left>
      <right style="thin">
        <color indexed="64"/>
      </right>
      <top style="thin">
        <color rgb="FF3F3F3F"/>
      </top>
      <bottom style="thin">
        <color rgb="FF3F3F3F"/>
      </bottom>
      <diagonal/>
    </border>
    <border>
      <left style="thin">
        <color theme="1"/>
      </left>
      <right/>
      <top style="thin">
        <color theme="1"/>
      </top>
      <bottom/>
      <diagonal/>
    </border>
    <border>
      <left style="thin">
        <color theme="1"/>
      </left>
      <right/>
      <top/>
      <bottom/>
      <diagonal/>
    </border>
    <border>
      <left style="thin">
        <color rgb="FF3F3F3F"/>
      </left>
      <right/>
      <top style="thin">
        <color rgb="FF3F3F3F"/>
      </top>
      <bottom style="thin">
        <color indexed="64"/>
      </bottom>
      <diagonal/>
    </border>
    <border>
      <left/>
      <right/>
      <top style="thin">
        <color rgb="FF3F3F3F"/>
      </top>
      <bottom style="thin">
        <color indexed="64"/>
      </bottom>
      <diagonal/>
    </border>
    <border>
      <left/>
      <right style="thin">
        <color rgb="FF3F3F3F"/>
      </right>
      <top style="thin">
        <color rgb="FF3F3F3F"/>
      </top>
      <bottom style="thin">
        <color indexed="64"/>
      </bottom>
      <diagonal/>
    </border>
    <border>
      <left style="double">
        <color rgb="FF3F3F3F"/>
      </left>
      <right/>
      <top/>
      <bottom style="thin">
        <color indexed="64"/>
      </bottom>
      <diagonal/>
    </border>
    <border>
      <left/>
      <right style="double">
        <color rgb="FF3F3F3F"/>
      </right>
      <top/>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thin">
        <color indexed="64"/>
      </top>
      <bottom/>
      <diagonal/>
    </border>
    <border>
      <left style="thin">
        <color theme="0" tint="-0.24994659260841701"/>
      </left>
      <right style="thin">
        <color indexed="64"/>
      </right>
      <top/>
      <bottom/>
      <diagonal/>
    </border>
    <border>
      <left style="thin">
        <color theme="0" tint="-0.24994659260841701"/>
      </left>
      <right style="thin">
        <color indexed="64"/>
      </right>
      <top/>
      <bottom style="thin">
        <color indexed="64"/>
      </bottom>
      <diagonal/>
    </border>
    <border>
      <left/>
      <right style="medium">
        <color rgb="FF949494"/>
      </right>
      <top/>
      <bottom/>
      <diagonal/>
    </border>
  </borders>
  <cellStyleXfs count="31">
    <xf numFmtId="0" fontId="0" fillId="0" borderId="0"/>
    <xf numFmtId="0" fontId="56" fillId="6" borderId="0" applyNumberFormat="0" applyBorder="0" applyAlignment="0" applyProtection="0"/>
    <xf numFmtId="0" fontId="56"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8" fillId="4" borderId="0" applyNumberFormat="0" applyBorder="0" applyAlignment="0" applyProtection="0"/>
    <xf numFmtId="0" fontId="59" fillId="8" borderId="0" applyNumberFormat="0" applyBorder="0" applyAlignment="0" applyProtection="0"/>
    <xf numFmtId="0" fontId="59" fillId="5" borderId="0" applyNumberFormat="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43" fontId="56"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0" fontId="60" fillId="7" borderId="0" applyNumberFormat="0" applyBorder="0" applyAlignment="0" applyProtection="0"/>
    <xf numFmtId="0" fontId="2" fillId="0" borderId="0"/>
    <xf numFmtId="0" fontId="2" fillId="0" borderId="0"/>
    <xf numFmtId="0" fontId="56" fillId="0" borderId="0"/>
    <xf numFmtId="0" fontId="2" fillId="0" borderId="0"/>
    <xf numFmtId="0" fontId="2" fillId="0" borderId="0"/>
    <xf numFmtId="0" fontId="3" fillId="0" borderId="0"/>
    <xf numFmtId="0" fontId="2" fillId="0" borderId="0"/>
    <xf numFmtId="0" fontId="2" fillId="0" borderId="0"/>
    <xf numFmtId="0" fontId="2" fillId="0" borderId="0"/>
    <xf numFmtId="9" fontId="5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cellStyleXfs>
  <cellXfs count="2628">
    <xf numFmtId="0" fontId="0" fillId="0" borderId="0" xfId="0"/>
    <xf numFmtId="0" fontId="61" fillId="0" borderId="0" xfId="0" applyFont="1" applyAlignment="1">
      <alignment vertical="center"/>
    </xf>
    <xf numFmtId="0" fontId="1" fillId="0" borderId="0" xfId="0" applyFont="1" applyBorder="1" applyAlignment="1">
      <alignment horizontal="center" vertical="center"/>
    </xf>
    <xf numFmtId="0" fontId="4" fillId="12" borderId="1" xfId="24" applyFont="1" applyFill="1" applyBorder="1" applyAlignment="1">
      <alignment horizontal="center" vertical="center" wrapText="1"/>
    </xf>
    <xf numFmtId="0" fontId="4" fillId="12" borderId="2" xfId="24" applyFont="1" applyFill="1" applyBorder="1" applyAlignment="1">
      <alignment horizontal="center" vertical="center"/>
    </xf>
    <xf numFmtId="0" fontId="5" fillId="0" borderId="3" xfId="24" applyFont="1" applyFill="1" applyBorder="1" applyAlignment="1">
      <alignment vertical="center" wrapText="1"/>
    </xf>
    <xf numFmtId="0" fontId="5" fillId="13" borderId="3" xfId="24" applyFont="1" applyFill="1" applyBorder="1" applyAlignment="1">
      <alignment vertical="center" wrapText="1"/>
    </xf>
    <xf numFmtId="0" fontId="62" fillId="14" borderId="4" xfId="24" applyFont="1" applyFill="1" applyBorder="1" applyAlignment="1">
      <alignment vertical="center"/>
    </xf>
    <xf numFmtId="9" fontId="62" fillId="14" borderId="5" xfId="29" applyFont="1" applyFill="1" applyBorder="1" applyAlignment="1">
      <alignment horizontal="center" vertical="center"/>
    </xf>
    <xf numFmtId="0" fontId="61" fillId="0" borderId="0" xfId="0" applyFont="1"/>
    <xf numFmtId="0" fontId="61" fillId="0" borderId="0" xfId="0" applyFont="1" applyBorder="1"/>
    <xf numFmtId="0" fontId="63" fillId="13" borderId="3" xfId="24" applyFont="1" applyFill="1" applyBorder="1" applyAlignment="1">
      <alignment vertical="center" wrapText="1"/>
    </xf>
    <xf numFmtId="0" fontId="64" fillId="0" borderId="3" xfId="0" applyFont="1" applyBorder="1" applyAlignment="1">
      <alignment horizontal="center"/>
    </xf>
    <xf numFmtId="0" fontId="65" fillId="13" borderId="3" xfId="24" applyFont="1" applyFill="1" applyBorder="1" applyAlignment="1">
      <alignment horizontal="center" vertical="center" wrapText="1"/>
    </xf>
    <xf numFmtId="0" fontId="63" fillId="15" borderId="3" xfId="24" applyFont="1" applyFill="1" applyBorder="1" applyAlignment="1">
      <alignment vertical="center" wrapText="1"/>
    </xf>
    <xf numFmtId="0" fontId="64" fillId="15" borderId="3" xfId="0" applyFont="1" applyFill="1" applyBorder="1" applyAlignment="1">
      <alignment horizontal="center"/>
    </xf>
    <xf numFmtId="0" fontId="61" fillId="0" borderId="0" xfId="0" applyFont="1" applyAlignment="1">
      <alignment horizontal="center" vertical="center"/>
    </xf>
    <xf numFmtId="0" fontId="66" fillId="0" borderId="0" xfId="0" applyFont="1" applyAlignment="1">
      <alignment horizontal="center"/>
    </xf>
    <xf numFmtId="0" fontId="0" fillId="0" borderId="0" xfId="0" applyBorder="1"/>
    <xf numFmtId="0" fontId="66" fillId="0" borderId="3" xfId="0" applyFont="1" applyBorder="1" applyAlignment="1">
      <alignment horizontal="center"/>
    </xf>
    <xf numFmtId="0" fontId="0" fillId="0" borderId="3" xfId="0" applyBorder="1"/>
    <xf numFmtId="0" fontId="61" fillId="13" borderId="0" xfId="0" applyFont="1" applyFill="1" applyBorder="1" applyAlignment="1">
      <alignment horizontal="center" vertical="center" wrapText="1"/>
    </xf>
    <xf numFmtId="0" fontId="0" fillId="0" borderId="0" xfId="0" applyAlignment="1">
      <alignment horizontal="center"/>
    </xf>
    <xf numFmtId="0" fontId="0" fillId="16" borderId="0" xfId="0" applyFill="1"/>
    <xf numFmtId="0" fontId="0" fillId="17" borderId="0" xfId="0" applyFill="1"/>
    <xf numFmtId="0" fontId="0" fillId="15" borderId="0" xfId="0" applyFill="1"/>
    <xf numFmtId="15" fontId="61" fillId="18" borderId="3" xfId="0" applyNumberFormat="1" applyFont="1" applyFill="1" applyBorder="1" applyAlignment="1">
      <alignment horizontal="center" vertical="center" wrapText="1"/>
    </xf>
    <xf numFmtId="15" fontId="61" fillId="19" borderId="3" xfId="0" applyNumberFormat="1" applyFont="1" applyFill="1" applyBorder="1" applyAlignment="1">
      <alignment horizontal="center" vertical="center" wrapText="1"/>
    </xf>
    <xf numFmtId="0" fontId="61" fillId="19" borderId="3" xfId="0" applyFont="1" applyFill="1" applyBorder="1"/>
    <xf numFmtId="0" fontId="61" fillId="19" borderId="3" xfId="0" applyFont="1" applyFill="1" applyBorder="1" applyAlignment="1">
      <alignment vertical="center"/>
    </xf>
    <xf numFmtId="0" fontId="67" fillId="0" borderId="98" xfId="0" applyFont="1" applyBorder="1" applyAlignment="1">
      <alignment horizontal="left" vertical="center" wrapText="1" readingOrder="1"/>
    </xf>
    <xf numFmtId="0" fontId="0" fillId="0" borderId="0" xfId="0" applyAlignment="1">
      <alignment horizontal="left"/>
    </xf>
    <xf numFmtId="0" fontId="0" fillId="0" borderId="3" xfId="0" applyBorder="1" applyAlignment="1">
      <alignment horizontal="center"/>
    </xf>
    <xf numFmtId="0" fontId="68" fillId="5" borderId="3" xfId="7" applyFont="1" applyBorder="1" applyAlignment="1">
      <alignment horizontal="center"/>
    </xf>
    <xf numFmtId="0" fontId="66" fillId="6" borderId="3" xfId="1" applyFont="1" applyBorder="1" applyAlignment="1">
      <alignment horizontal="left"/>
    </xf>
    <xf numFmtId="0" fontId="66" fillId="6" borderId="3" xfId="1" applyFont="1" applyBorder="1" applyAlignment="1">
      <alignment horizontal="left" wrapText="1"/>
    </xf>
    <xf numFmtId="0" fontId="69" fillId="0" borderId="3" xfId="0" applyFont="1" applyBorder="1" applyAlignment="1">
      <alignment horizontal="center"/>
    </xf>
    <xf numFmtId="0" fontId="70" fillId="0" borderId="0" xfId="0" applyFont="1" applyAlignment="1">
      <alignment horizontal="center"/>
    </xf>
    <xf numFmtId="0" fontId="71" fillId="0" borderId="0" xfId="0" applyFont="1" applyAlignment="1">
      <alignment horizontal="center" vertical="center" readingOrder="1"/>
    </xf>
    <xf numFmtId="0" fontId="69" fillId="0" borderId="0" xfId="0" applyFont="1"/>
    <xf numFmtId="0" fontId="72" fillId="6" borderId="3" xfId="1" applyFont="1" applyBorder="1" applyAlignment="1">
      <alignment horizontal="center" vertical="center" wrapText="1"/>
    </xf>
    <xf numFmtId="0" fontId="72" fillId="6" borderId="3" xfId="1" applyFont="1" applyBorder="1" applyAlignment="1">
      <alignment horizontal="center" vertical="center"/>
    </xf>
    <xf numFmtId="0" fontId="72" fillId="13" borderId="3" xfId="0" applyFont="1" applyFill="1" applyBorder="1" applyAlignment="1">
      <alignment horizontal="center" vertical="center" wrapText="1"/>
    </xf>
    <xf numFmtId="0" fontId="73" fillId="0" borderId="6" xfId="0" applyFont="1" applyBorder="1" applyAlignment="1">
      <alignment horizontal="center" vertical="center"/>
    </xf>
    <xf numFmtId="0" fontId="73" fillId="0" borderId="6" xfId="0" applyFont="1" applyBorder="1" applyAlignment="1">
      <alignment horizontal="center" vertical="center" wrapText="1"/>
    </xf>
    <xf numFmtId="0" fontId="74" fillId="0" borderId="6" xfId="0" applyFont="1" applyBorder="1" applyAlignment="1">
      <alignment horizontal="center" vertical="center"/>
    </xf>
    <xf numFmtId="10" fontId="74" fillId="0" borderId="6" xfId="0" applyNumberFormat="1" applyFont="1" applyBorder="1" applyAlignment="1">
      <alignment horizontal="center" vertical="center"/>
    </xf>
    <xf numFmtId="0" fontId="74" fillId="0" borderId="6" xfId="0" applyFont="1" applyBorder="1" applyAlignment="1">
      <alignment vertical="center" wrapText="1"/>
    </xf>
    <xf numFmtId="0" fontId="73" fillId="0" borderId="7" xfId="0" applyFont="1" applyBorder="1" applyAlignment="1">
      <alignment horizontal="center" vertical="center"/>
    </xf>
    <xf numFmtId="0" fontId="73" fillId="0" borderId="7" xfId="0" applyFont="1" applyBorder="1" applyAlignment="1">
      <alignment horizontal="center" vertical="center" wrapText="1"/>
    </xf>
    <xf numFmtId="0" fontId="73" fillId="0" borderId="7" xfId="0" applyFont="1" applyBorder="1" applyAlignment="1">
      <alignment vertical="center"/>
    </xf>
    <xf numFmtId="4" fontId="73" fillId="0" borderId="7" xfId="28" applyNumberFormat="1" applyFont="1" applyFill="1" applyBorder="1" applyAlignment="1">
      <alignment horizontal="center" vertical="center"/>
    </xf>
    <xf numFmtId="0" fontId="73" fillId="0" borderId="7" xfId="0" applyFont="1" applyFill="1" applyBorder="1" applyAlignment="1">
      <alignment vertical="center" wrapText="1"/>
    </xf>
    <xf numFmtId="166" fontId="73" fillId="0" borderId="7" xfId="28" applyNumberFormat="1" applyFont="1" applyFill="1" applyBorder="1" applyAlignment="1">
      <alignment horizontal="center" vertical="center"/>
    </xf>
    <xf numFmtId="0" fontId="73" fillId="0" borderId="7" xfId="0" applyFont="1" applyBorder="1"/>
    <xf numFmtId="9" fontId="73" fillId="0" borderId="7" xfId="0" applyNumberFormat="1" applyFont="1" applyBorder="1" applyAlignment="1">
      <alignment horizontal="center" vertical="center"/>
    </xf>
    <xf numFmtId="0" fontId="73" fillId="0" borderId="7" xfId="0" applyFont="1" applyBorder="1" applyAlignment="1">
      <alignment wrapText="1"/>
    </xf>
    <xf numFmtId="9" fontId="73" fillId="0" borderId="7" xfId="0" applyNumberFormat="1" applyFont="1" applyFill="1" applyBorder="1" applyAlignment="1">
      <alignment horizontal="center" vertical="center" wrapText="1"/>
    </xf>
    <xf numFmtId="0" fontId="75" fillId="0" borderId="7" xfId="0" applyFont="1" applyBorder="1" applyAlignment="1">
      <alignment horizontal="center" vertical="center"/>
    </xf>
    <xf numFmtId="0" fontId="75" fillId="0" borderId="7" xfId="0" applyFont="1" applyBorder="1" applyAlignment="1">
      <alignment horizontal="center" vertical="center" wrapText="1"/>
    </xf>
    <xf numFmtId="0" fontId="75" fillId="0" borderId="7" xfId="0" applyFont="1" applyBorder="1" applyAlignment="1">
      <alignment horizontal="left" vertical="center" wrapText="1"/>
    </xf>
    <xf numFmtId="0" fontId="75" fillId="0" borderId="7" xfId="0" applyFont="1" applyFill="1" applyBorder="1" applyAlignment="1">
      <alignment horizontal="center" vertical="center" wrapText="1"/>
    </xf>
    <xf numFmtId="10" fontId="73" fillId="0" borderId="7" xfId="0" applyNumberFormat="1" applyFont="1" applyFill="1" applyBorder="1" applyAlignment="1">
      <alignment horizontal="center" vertical="center" wrapText="1"/>
    </xf>
    <xf numFmtId="0" fontId="75" fillId="0" borderId="7" xfId="0" applyFont="1" applyBorder="1"/>
    <xf numFmtId="0" fontId="75" fillId="0" borderId="7" xfId="0" applyFont="1" applyBorder="1" applyAlignment="1">
      <alignment wrapText="1"/>
    </xf>
    <xf numFmtId="0" fontId="73" fillId="0" borderId="7" xfId="0" applyFont="1" applyFill="1" applyBorder="1" applyAlignment="1">
      <alignment horizontal="center" vertical="center" wrapText="1"/>
    </xf>
    <xf numFmtId="9" fontId="75" fillId="0" borderId="7" xfId="0" applyNumberFormat="1" applyFont="1" applyFill="1" applyBorder="1" applyAlignment="1">
      <alignment horizontal="center" vertical="center"/>
    </xf>
    <xf numFmtId="9" fontId="73" fillId="0" borderId="7" xfId="0" applyNumberFormat="1" applyFont="1" applyFill="1" applyBorder="1" applyAlignment="1">
      <alignment horizontal="center" vertical="center"/>
    </xf>
    <xf numFmtId="0" fontId="75" fillId="0" borderId="7" xfId="0" applyFont="1" applyBorder="1" applyAlignment="1">
      <alignment vertical="center"/>
    </xf>
    <xf numFmtId="0" fontId="75" fillId="0" borderId="7" xfId="0" applyFont="1" applyBorder="1" applyAlignment="1">
      <alignment vertical="center" wrapText="1"/>
    </xf>
    <xf numFmtId="166" fontId="56" fillId="0" borderId="0" xfId="28" applyNumberFormat="1" applyFont="1"/>
    <xf numFmtId="9" fontId="75" fillId="0" borderId="7" xfId="0" applyNumberFormat="1" applyFont="1" applyBorder="1" applyAlignment="1">
      <alignment horizontal="center" vertical="center"/>
    </xf>
    <xf numFmtId="0" fontId="75" fillId="0" borderId="8" xfId="0" applyFont="1" applyBorder="1" applyAlignment="1">
      <alignment horizontal="center" vertical="center"/>
    </xf>
    <xf numFmtId="0" fontId="75" fillId="0" borderId="8" xfId="0" applyFont="1" applyBorder="1" applyAlignment="1">
      <alignment horizontal="center" vertical="center" wrapText="1"/>
    </xf>
    <xf numFmtId="0" fontId="75" fillId="0" borderId="8" xfId="0" applyFont="1" applyBorder="1"/>
    <xf numFmtId="0" fontId="75" fillId="0" borderId="8" xfId="0" applyFont="1" applyFill="1" applyBorder="1" applyAlignment="1">
      <alignment horizontal="center" vertical="center"/>
    </xf>
    <xf numFmtId="0" fontId="75" fillId="0" borderId="8" xfId="0" applyFont="1" applyFill="1" applyBorder="1" applyAlignment="1">
      <alignment vertical="center" wrapText="1"/>
    </xf>
    <xf numFmtId="0" fontId="73" fillId="0" borderId="8" xfId="0" applyFont="1" applyFill="1" applyBorder="1" applyAlignment="1">
      <alignment horizontal="center" vertical="center"/>
    </xf>
    <xf numFmtId="0" fontId="73" fillId="0" borderId="0" xfId="0" applyFont="1"/>
    <xf numFmtId="9" fontId="73" fillId="0" borderId="0" xfId="0" applyNumberFormat="1" applyFont="1" applyAlignment="1">
      <alignment horizontal="center"/>
    </xf>
    <xf numFmtId="10" fontId="76" fillId="20" borderId="0" xfId="0" applyNumberFormat="1" applyFont="1" applyFill="1"/>
    <xf numFmtId="0" fontId="0" fillId="21" borderId="0" xfId="0" applyFill="1"/>
    <xf numFmtId="0" fontId="77" fillId="0" borderId="7" xfId="0" applyFont="1" applyBorder="1" applyAlignment="1">
      <alignment wrapText="1"/>
    </xf>
    <xf numFmtId="9" fontId="0" fillId="21" borderId="0" xfId="0" applyNumberFormat="1" applyFill="1"/>
    <xf numFmtId="167" fontId="3" fillId="22" borderId="9" xfId="12" applyNumberFormat="1" applyFont="1" applyFill="1" applyBorder="1" applyAlignment="1">
      <alignment wrapText="1"/>
    </xf>
    <xf numFmtId="0" fontId="5" fillId="23" borderId="10" xfId="19" applyFont="1" applyFill="1" applyBorder="1" applyAlignment="1">
      <alignment horizontal="center"/>
    </xf>
    <xf numFmtId="0" fontId="5" fillId="23" borderId="10" xfId="19" applyFont="1" applyFill="1" applyBorder="1" applyAlignment="1">
      <alignment horizontal="left"/>
    </xf>
    <xf numFmtId="167" fontId="3" fillId="0" borderId="0" xfId="12" applyNumberFormat="1" applyFont="1" applyAlignment="1"/>
    <xf numFmtId="167" fontId="3" fillId="22" borderId="11" xfId="12" applyNumberFormat="1" applyFont="1" applyFill="1" applyBorder="1" applyAlignment="1">
      <alignment wrapText="1"/>
    </xf>
    <xf numFmtId="167" fontId="3" fillId="0" borderId="0" xfId="12" applyNumberFormat="1" applyFont="1" applyBorder="1" applyAlignment="1"/>
    <xf numFmtId="0" fontId="5" fillId="22" borderId="0" xfId="19" applyFont="1" applyFill="1" applyBorder="1" applyAlignment="1">
      <alignment horizontal="left"/>
    </xf>
    <xf numFmtId="167" fontId="3" fillId="22" borderId="0" xfId="12" applyNumberFormat="1" applyFont="1" applyFill="1" applyBorder="1" applyAlignment="1"/>
    <xf numFmtId="167" fontId="3" fillId="22" borderId="0" xfId="12" applyNumberFormat="1" applyFont="1" applyFill="1" applyBorder="1" applyAlignment="1">
      <alignment horizontal="center"/>
    </xf>
    <xf numFmtId="167" fontId="3" fillId="22" borderId="11" xfId="12" applyNumberFormat="1" applyFont="1" applyFill="1" applyBorder="1" applyAlignment="1">
      <alignment horizontal="center" wrapText="1"/>
    </xf>
    <xf numFmtId="167" fontId="5" fillId="22" borderId="12" xfId="12" applyNumberFormat="1" applyFont="1" applyFill="1" applyBorder="1" applyAlignment="1">
      <alignment wrapText="1"/>
    </xf>
    <xf numFmtId="167" fontId="5" fillId="0" borderId="13" xfId="12" applyNumberFormat="1" applyFont="1" applyBorder="1" applyAlignment="1"/>
    <xf numFmtId="167" fontId="5" fillId="22" borderId="14" xfId="12" applyNumberFormat="1" applyFont="1" applyFill="1" applyBorder="1" applyAlignment="1">
      <alignment horizontal="left"/>
    </xf>
    <xf numFmtId="167" fontId="5" fillId="22" borderId="14" xfId="12" applyNumberFormat="1" applyFont="1" applyFill="1" applyBorder="1" applyAlignment="1">
      <alignment horizontal="center"/>
    </xf>
    <xf numFmtId="167" fontId="5" fillId="22" borderId="14" xfId="12" applyNumberFormat="1" applyFont="1" applyFill="1" applyBorder="1" applyAlignment="1"/>
    <xf numFmtId="15" fontId="5" fillId="22" borderId="14" xfId="12" applyNumberFormat="1" applyFont="1" applyFill="1" applyBorder="1" applyAlignment="1">
      <alignment horizontal="center"/>
    </xf>
    <xf numFmtId="167" fontId="5" fillId="0" borderId="0" xfId="12" applyNumberFormat="1" applyFont="1" applyAlignment="1"/>
    <xf numFmtId="167" fontId="5" fillId="22" borderId="13" xfId="12" applyNumberFormat="1" applyFont="1" applyFill="1" applyBorder="1" applyAlignment="1">
      <alignment wrapText="1"/>
    </xf>
    <xf numFmtId="167" fontId="26" fillId="22" borderId="14" xfId="12" applyNumberFormat="1" applyFont="1" applyFill="1" applyBorder="1" applyAlignment="1">
      <alignment horizontal="center"/>
    </xf>
    <xf numFmtId="167" fontId="5" fillId="3" borderId="15" xfId="12" applyNumberFormat="1" applyFont="1" applyFill="1" applyBorder="1" applyAlignment="1">
      <alignment horizontal="center" wrapText="1"/>
    </xf>
    <xf numFmtId="167" fontId="5" fillId="0" borderId="15" xfId="12" applyNumberFormat="1" applyFont="1" applyBorder="1" applyAlignment="1">
      <alignment horizontal="center"/>
    </xf>
    <xf numFmtId="167" fontId="27" fillId="0" borderId="3" xfId="12" applyNumberFormat="1" applyFont="1" applyBorder="1" applyAlignment="1">
      <alignment horizontal="center"/>
    </xf>
    <xf numFmtId="167" fontId="4" fillId="3" borderId="3" xfId="12" applyNumberFormat="1" applyFont="1" applyFill="1" applyBorder="1" applyAlignment="1">
      <alignment horizontal="center"/>
    </xf>
    <xf numFmtId="167" fontId="4" fillId="13" borderId="3" xfId="12" applyNumberFormat="1" applyFont="1" applyFill="1" applyBorder="1" applyAlignment="1">
      <alignment horizontal="center"/>
    </xf>
    <xf numFmtId="0" fontId="3" fillId="0" borderId="0" xfId="19" applyFont="1" applyAlignment="1">
      <alignment horizontal="center"/>
    </xf>
    <xf numFmtId="167" fontId="5" fillId="13" borderId="15" xfId="12" applyNumberFormat="1" applyFont="1" applyFill="1" applyBorder="1" applyAlignment="1">
      <alignment wrapText="1"/>
    </xf>
    <xf numFmtId="167" fontId="5" fillId="13" borderId="15" xfId="12" applyNumberFormat="1" applyFont="1" applyFill="1" applyBorder="1" applyAlignment="1">
      <alignment horizontal="left"/>
    </xf>
    <xf numFmtId="167" fontId="26" fillId="13" borderId="3" xfId="12" applyNumberFormat="1" applyFont="1" applyFill="1" applyBorder="1" applyAlignment="1">
      <alignment horizontal="left"/>
    </xf>
    <xf numFmtId="167" fontId="5" fillId="13" borderId="3" xfId="12" applyNumberFormat="1" applyFont="1" applyFill="1" applyBorder="1" applyAlignment="1">
      <alignment horizontal="left"/>
    </xf>
    <xf numFmtId="167" fontId="28" fillId="13" borderId="3" xfId="12" applyNumberFormat="1" applyFont="1" applyFill="1" applyBorder="1" applyAlignment="1">
      <alignment horizontal="left"/>
    </xf>
    <xf numFmtId="0" fontId="3" fillId="0" borderId="0" xfId="19" applyFont="1" applyAlignment="1"/>
    <xf numFmtId="167" fontId="3" fillId="0" borderId="0" xfId="19" applyNumberFormat="1" applyFont="1" applyAlignment="1"/>
    <xf numFmtId="167" fontId="1" fillId="2" borderId="3" xfId="12" applyNumberFormat="1" applyFont="1" applyFill="1" applyBorder="1" applyAlignment="1"/>
    <xf numFmtId="167" fontId="1" fillId="2" borderId="3" xfId="12" applyNumberFormat="1" applyFont="1" applyFill="1" applyBorder="1" applyAlignment="1">
      <alignment horizontal="center"/>
    </xf>
    <xf numFmtId="167" fontId="1" fillId="13" borderId="3" xfId="12" applyNumberFormat="1" applyFont="1" applyFill="1" applyBorder="1" applyAlignment="1">
      <alignment horizontal="left"/>
    </xf>
    <xf numFmtId="0" fontId="2" fillId="0" borderId="0" xfId="19" applyFont="1" applyAlignment="1"/>
    <xf numFmtId="167" fontId="2" fillId="0" borderId="0" xfId="19" applyNumberFormat="1" applyFont="1" applyAlignment="1"/>
    <xf numFmtId="167" fontId="1" fillId="24" borderId="3" xfId="12" applyNumberFormat="1" applyFont="1" applyFill="1" applyBorder="1" applyAlignment="1">
      <alignment wrapText="1"/>
    </xf>
    <xf numFmtId="167" fontId="1" fillId="24" borderId="3" xfId="12" applyNumberFormat="1" applyFont="1" applyFill="1" applyBorder="1" applyAlignment="1">
      <alignment horizontal="center"/>
    </xf>
    <xf numFmtId="16" fontId="2" fillId="24" borderId="0" xfId="19" applyNumberFormat="1" applyFont="1" applyFill="1" applyAlignment="1"/>
    <xf numFmtId="0" fontId="2" fillId="24" borderId="0" xfId="19" applyFont="1" applyFill="1" applyAlignment="1"/>
    <xf numFmtId="167" fontId="2" fillId="22" borderId="3" xfId="12" applyNumberFormat="1" applyFont="1" applyFill="1" applyBorder="1" applyAlignment="1">
      <alignment wrapText="1"/>
    </xf>
    <xf numFmtId="167" fontId="1" fillId="22" borderId="3" xfId="12" applyNumberFormat="1" applyFont="1" applyFill="1" applyBorder="1" applyAlignment="1">
      <alignment horizontal="center"/>
    </xf>
    <xf numFmtId="167" fontId="2" fillId="22" borderId="3" xfId="12" applyNumberFormat="1" applyFont="1" applyFill="1" applyBorder="1" applyAlignment="1">
      <alignment horizontal="left"/>
    </xf>
    <xf numFmtId="167" fontId="1" fillId="22" borderId="3" xfId="12" applyNumberFormat="1" applyFont="1" applyFill="1" applyBorder="1" applyAlignment="1">
      <alignment horizontal="left"/>
    </xf>
    <xf numFmtId="167" fontId="1" fillId="13" borderId="3" xfId="12" applyNumberFormat="1" applyFont="1" applyFill="1" applyBorder="1" applyAlignment="1">
      <alignment horizontal="center"/>
    </xf>
    <xf numFmtId="0" fontId="2" fillId="0" borderId="0" xfId="19" applyFont="1" applyBorder="1" applyAlignment="1"/>
    <xf numFmtId="0" fontId="2" fillId="0" borderId="16" xfId="19" applyFont="1" applyBorder="1" applyAlignment="1"/>
    <xf numFmtId="49" fontId="2" fillId="22" borderId="3" xfId="12" applyNumberFormat="1" applyFont="1" applyFill="1" applyBorder="1" applyAlignment="1">
      <alignment wrapText="1"/>
    </xf>
    <xf numFmtId="167" fontId="2" fillId="22" borderId="3" xfId="12" applyNumberFormat="1" applyFont="1" applyFill="1" applyBorder="1" applyAlignment="1">
      <alignment horizontal="center"/>
    </xf>
    <xf numFmtId="0" fontId="1" fillId="0" borderId="0" xfId="19" applyFont="1" applyBorder="1" applyAlignment="1"/>
    <xf numFmtId="0" fontId="1" fillId="0" borderId="16" xfId="19" applyFont="1" applyBorder="1" applyAlignment="1"/>
    <xf numFmtId="0" fontId="1" fillId="0" borderId="0" xfId="19" applyFont="1" applyAlignment="1"/>
    <xf numFmtId="167" fontId="2" fillId="13" borderId="3" xfId="12" applyNumberFormat="1" applyFont="1" applyFill="1" applyBorder="1" applyAlignment="1">
      <alignment horizontal="center"/>
    </xf>
    <xf numFmtId="167" fontId="2" fillId="0" borderId="3" xfId="16" applyNumberFormat="1" applyFont="1" applyBorder="1" applyAlignment="1">
      <alignment horizontal="left" wrapText="1"/>
    </xf>
    <xf numFmtId="43" fontId="2" fillId="22" borderId="3" xfId="15" applyFont="1" applyFill="1" applyBorder="1" applyAlignment="1">
      <alignment horizontal="left"/>
    </xf>
    <xf numFmtId="167" fontId="2" fillId="22" borderId="3" xfId="5" applyNumberFormat="1" applyFont="1" applyFill="1" applyBorder="1" applyAlignment="1"/>
    <xf numFmtId="167" fontId="1" fillId="13" borderId="3" xfId="15" applyNumberFormat="1" applyFont="1" applyFill="1" applyBorder="1" applyAlignment="1">
      <alignment horizontal="center"/>
    </xf>
    <xf numFmtId="0" fontId="2" fillId="22" borderId="3" xfId="19" applyFont="1" applyFill="1" applyBorder="1" applyAlignment="1">
      <alignment wrapText="1"/>
    </xf>
    <xf numFmtId="167" fontId="1" fillId="24" borderId="3" xfId="12" applyNumberFormat="1" applyFont="1" applyFill="1" applyBorder="1" applyAlignment="1">
      <alignment horizontal="left"/>
    </xf>
    <xf numFmtId="16" fontId="1" fillId="24" borderId="0" xfId="19" applyNumberFormat="1" applyFont="1" applyFill="1" applyAlignment="1"/>
    <xf numFmtId="0" fontId="1" fillId="24" borderId="0" xfId="19" applyFont="1" applyFill="1" applyAlignment="1"/>
    <xf numFmtId="167" fontId="2" fillId="0" borderId="3" xfId="11" applyNumberFormat="1" applyFont="1" applyBorder="1" applyAlignment="1">
      <alignment wrapText="1"/>
    </xf>
    <xf numFmtId="167" fontId="2" fillId="0" borderId="3" xfId="11" applyNumberFormat="1" applyFont="1" applyBorder="1" applyAlignment="1">
      <alignment horizontal="left" wrapText="1"/>
    </xf>
    <xf numFmtId="167" fontId="2" fillId="22" borderId="3" xfId="11" applyNumberFormat="1" applyFont="1" applyFill="1" applyBorder="1" applyAlignment="1"/>
    <xf numFmtId="167" fontId="1" fillId="0" borderId="3" xfId="11" applyNumberFormat="1" applyFont="1" applyBorder="1" applyAlignment="1"/>
    <xf numFmtId="167" fontId="2" fillId="0" borderId="3" xfId="11" applyNumberFormat="1" applyFont="1" applyBorder="1" applyAlignment="1"/>
    <xf numFmtId="167" fontId="2" fillId="0" borderId="3" xfId="12" applyNumberFormat="1" applyFont="1" applyBorder="1" applyAlignment="1">
      <alignment wrapText="1"/>
    </xf>
    <xf numFmtId="167" fontId="2" fillId="0" borderId="3" xfId="11" applyNumberFormat="1" applyFont="1" applyFill="1" applyBorder="1" applyAlignment="1"/>
    <xf numFmtId="167" fontId="1" fillId="22" borderId="3" xfId="12" applyNumberFormat="1" applyFont="1" applyFill="1" applyBorder="1" applyAlignment="1">
      <alignment wrapText="1"/>
    </xf>
    <xf numFmtId="0" fontId="1" fillId="22" borderId="0" xfId="19" applyFont="1" applyFill="1" applyBorder="1" applyAlignment="1"/>
    <xf numFmtId="0" fontId="1" fillId="22" borderId="16" xfId="19" applyFont="1" applyFill="1" applyBorder="1" applyAlignment="1"/>
    <xf numFmtId="0" fontId="1" fillId="22" borderId="0" xfId="19" applyFont="1" applyFill="1" applyAlignment="1"/>
    <xf numFmtId="167" fontId="2" fillId="24" borderId="3" xfId="12" applyNumberFormat="1" applyFont="1" applyFill="1" applyBorder="1" applyAlignment="1">
      <alignment horizontal="left"/>
    </xf>
    <xf numFmtId="167" fontId="2" fillId="22" borderId="3" xfId="16" applyNumberFormat="1" applyFont="1" applyFill="1" applyBorder="1" applyAlignment="1">
      <alignment horizontal="justify" wrapText="1"/>
    </xf>
    <xf numFmtId="169" fontId="2" fillId="22" borderId="3" xfId="15" applyNumberFormat="1" applyFont="1" applyFill="1" applyBorder="1" applyAlignment="1">
      <alignment horizontal="left"/>
    </xf>
    <xf numFmtId="167" fontId="2" fillId="0" borderId="3" xfId="16" applyNumberFormat="1" applyFont="1" applyBorder="1" applyAlignment="1"/>
    <xf numFmtId="0" fontId="2" fillId="0" borderId="3" xfId="19" applyFont="1" applyBorder="1" applyAlignment="1"/>
    <xf numFmtId="167" fontId="2" fillId="0" borderId="3" xfId="16" applyNumberFormat="1" applyFont="1" applyBorder="1" applyAlignment="1">
      <alignment wrapText="1"/>
    </xf>
    <xf numFmtId="170" fontId="2" fillId="22" borderId="3" xfId="5" applyNumberFormat="1" applyFont="1" applyFill="1" applyBorder="1" applyAlignment="1"/>
    <xf numFmtId="167" fontId="2" fillId="22" borderId="3" xfId="16" applyNumberFormat="1" applyFont="1" applyFill="1" applyBorder="1" applyAlignment="1">
      <alignment horizontal="left"/>
    </xf>
    <xf numFmtId="167" fontId="2" fillId="22" borderId="3" xfId="18" applyNumberFormat="1" applyFont="1" applyFill="1" applyBorder="1" applyAlignment="1"/>
    <xf numFmtId="167" fontId="1" fillId="13" borderId="3" xfId="14" applyNumberFormat="1" applyFont="1" applyFill="1" applyBorder="1" applyAlignment="1">
      <alignment horizontal="center"/>
    </xf>
    <xf numFmtId="167" fontId="2" fillId="22" borderId="3" xfId="16" applyNumberFormat="1" applyFont="1" applyFill="1" applyBorder="1" applyAlignment="1">
      <alignment horizontal="left" wrapText="1"/>
    </xf>
    <xf numFmtId="167" fontId="78" fillId="22" borderId="3" xfId="16" applyNumberFormat="1" applyFont="1" applyFill="1" applyBorder="1" applyAlignment="1">
      <alignment wrapText="1"/>
    </xf>
    <xf numFmtId="167" fontId="2" fillId="22" borderId="3" xfId="16" applyNumberFormat="1" applyFont="1" applyFill="1" applyBorder="1" applyAlignment="1"/>
    <xf numFmtId="167" fontId="1" fillId="22" borderId="3" xfId="15" applyNumberFormat="1" applyFont="1" applyFill="1" applyBorder="1" applyAlignment="1">
      <alignment horizontal="center"/>
    </xf>
    <xf numFmtId="0" fontId="2" fillId="22" borderId="0" xfId="19" applyFont="1" applyFill="1" applyBorder="1" applyAlignment="1"/>
    <xf numFmtId="0" fontId="2" fillId="22" borderId="16" xfId="19" applyFont="1" applyFill="1" applyBorder="1" applyAlignment="1"/>
    <xf numFmtId="0" fontId="2" fillId="22" borderId="0" xfId="19" applyFont="1" applyFill="1" applyAlignment="1"/>
    <xf numFmtId="0" fontId="2" fillId="24" borderId="3" xfId="19" applyFont="1" applyFill="1" applyBorder="1" applyAlignment="1"/>
    <xf numFmtId="167" fontId="1" fillId="24" borderId="0" xfId="19" applyNumberFormat="1" applyFont="1" applyFill="1" applyAlignment="1"/>
    <xf numFmtId="0" fontId="79" fillId="22" borderId="17" xfId="25" applyNumberFormat="1" applyFont="1" applyFill="1" applyBorder="1" applyAlignment="1">
      <alignment wrapText="1" readingOrder="1"/>
    </xf>
    <xf numFmtId="167" fontId="2" fillId="0" borderId="3" xfId="12" applyNumberFormat="1" applyFont="1" applyBorder="1" applyAlignment="1"/>
    <xf numFmtId="0" fontId="79" fillId="22" borderId="3" xfId="25" applyNumberFormat="1" applyFont="1" applyFill="1" applyBorder="1" applyAlignment="1">
      <alignment wrapText="1" readingOrder="1"/>
    </xf>
    <xf numFmtId="0" fontId="79" fillId="22" borderId="18" xfId="25" applyNumberFormat="1" applyFont="1" applyFill="1" applyBorder="1" applyAlignment="1">
      <alignment horizontal="left" wrapText="1" readingOrder="1"/>
    </xf>
    <xf numFmtId="167" fontId="2" fillId="22" borderId="3" xfId="12" applyNumberFormat="1" applyFont="1" applyFill="1" applyBorder="1" applyAlignment="1"/>
    <xf numFmtId="0" fontId="79" fillId="0" borderId="18" xfId="25" applyNumberFormat="1" applyFont="1" applyFill="1" applyBorder="1" applyAlignment="1">
      <alignment horizontal="left" wrapText="1" readingOrder="1"/>
    </xf>
    <xf numFmtId="0" fontId="2" fillId="22" borderId="3" xfId="19" applyFont="1" applyFill="1" applyBorder="1" applyAlignment="1"/>
    <xf numFmtId="167" fontId="1" fillId="24" borderId="3" xfId="13" applyNumberFormat="1" applyFont="1" applyFill="1" applyBorder="1" applyAlignment="1">
      <alignment wrapText="1"/>
    </xf>
    <xf numFmtId="167" fontId="1" fillId="24" borderId="3" xfId="13" applyNumberFormat="1" applyFont="1" applyFill="1" applyBorder="1" applyAlignment="1">
      <alignment horizontal="center"/>
    </xf>
    <xf numFmtId="167" fontId="1" fillId="24" borderId="3" xfId="13" applyNumberFormat="1" applyFont="1" applyFill="1" applyBorder="1" applyAlignment="1">
      <alignment horizontal="left"/>
    </xf>
    <xf numFmtId="16" fontId="1" fillId="24" borderId="0" xfId="20" applyNumberFormat="1" applyFont="1" applyFill="1" applyAlignment="1"/>
    <xf numFmtId="0" fontId="1" fillId="24" borderId="0" xfId="20" applyFont="1" applyFill="1" applyAlignment="1"/>
    <xf numFmtId="167" fontId="2" fillId="22" borderId="3" xfId="12" applyNumberFormat="1" applyFont="1" applyFill="1" applyBorder="1" applyAlignment="1">
      <alignment horizontal="center" wrapText="1"/>
    </xf>
    <xf numFmtId="49" fontId="1" fillId="13" borderId="3" xfId="12" applyNumberFormat="1" applyFont="1" applyFill="1" applyBorder="1" applyAlignment="1">
      <alignment horizontal="center"/>
    </xf>
    <xf numFmtId="49" fontId="2" fillId="22" borderId="3" xfId="12" applyNumberFormat="1" applyFont="1" applyFill="1" applyBorder="1" applyAlignment="1"/>
    <xf numFmtId="49" fontId="2" fillId="0" borderId="3" xfId="12" applyNumberFormat="1" applyFont="1" applyBorder="1" applyAlignment="1">
      <alignment horizontal="left" wrapText="1"/>
    </xf>
    <xf numFmtId="164" fontId="2" fillId="22" borderId="3" xfId="17" applyFont="1" applyFill="1" applyBorder="1" applyAlignment="1"/>
    <xf numFmtId="49" fontId="2" fillId="0" borderId="3" xfId="12" applyNumberFormat="1" applyFont="1" applyBorder="1" applyAlignment="1"/>
    <xf numFmtId="167" fontId="2" fillId="0" borderId="3" xfId="12" applyNumberFormat="1" applyFont="1" applyBorder="1" applyAlignment="1">
      <alignment horizontal="justify" wrapText="1"/>
    </xf>
    <xf numFmtId="167" fontId="2" fillId="0" borderId="3" xfId="12" applyNumberFormat="1" applyFont="1" applyBorder="1" applyAlignment="1">
      <alignment horizontal="left"/>
    </xf>
    <xf numFmtId="167" fontId="2" fillId="0" borderId="3" xfId="12" applyNumberFormat="1" applyFont="1" applyBorder="1" applyAlignment="1">
      <alignment horizontal="left" wrapText="1"/>
    </xf>
    <xf numFmtId="167" fontId="2" fillId="22" borderId="3" xfId="12" applyNumberFormat="1" applyFont="1" applyFill="1" applyBorder="1" applyAlignment="1">
      <alignment horizontal="left" wrapText="1"/>
    </xf>
    <xf numFmtId="167" fontId="2" fillId="22" borderId="13" xfId="14" applyNumberFormat="1" applyFont="1" applyFill="1" applyBorder="1" applyAlignment="1">
      <alignment wrapText="1"/>
    </xf>
    <xf numFmtId="167" fontId="2" fillId="22" borderId="13" xfId="14" applyNumberFormat="1" applyFont="1" applyFill="1" applyBorder="1" applyAlignment="1">
      <alignment horizontal="left"/>
    </xf>
    <xf numFmtId="167" fontId="2" fillId="22" borderId="3" xfId="14" applyNumberFormat="1" applyFont="1" applyFill="1" applyBorder="1" applyAlignment="1"/>
    <xf numFmtId="167" fontId="2" fillId="22" borderId="15" xfId="14" applyNumberFormat="1" applyFont="1" applyFill="1" applyBorder="1" applyAlignment="1">
      <alignment wrapText="1"/>
    </xf>
    <xf numFmtId="167" fontId="2" fillId="22" borderId="15" xfId="14" applyNumberFormat="1" applyFont="1" applyFill="1" applyBorder="1" applyAlignment="1">
      <alignment horizontal="left"/>
    </xf>
    <xf numFmtId="167" fontId="1" fillId="0" borderId="3" xfId="13" applyNumberFormat="1" applyFont="1" applyFill="1" applyBorder="1" applyAlignment="1">
      <alignment wrapText="1"/>
    </xf>
    <xf numFmtId="0" fontId="2" fillId="22" borderId="3" xfId="22" applyFont="1" applyFill="1" applyBorder="1" applyAlignment="1">
      <alignment horizontal="left"/>
    </xf>
    <xf numFmtId="167" fontId="2" fillId="0" borderId="3" xfId="12" applyNumberFormat="1" applyFont="1" applyBorder="1" applyAlignment="1">
      <alignment horizontal="right"/>
    </xf>
    <xf numFmtId="167" fontId="2" fillId="15" borderId="3" xfId="12" applyNumberFormat="1" applyFont="1" applyFill="1" applyBorder="1" applyAlignment="1">
      <alignment wrapText="1"/>
    </xf>
    <xf numFmtId="167" fontId="2" fillId="15" borderId="3" xfId="12" applyNumberFormat="1" applyFont="1" applyFill="1" applyBorder="1" applyAlignment="1">
      <alignment horizontal="left" wrapText="1"/>
    </xf>
    <xf numFmtId="167" fontId="2" fillId="13" borderId="3" xfId="12" applyNumberFormat="1" applyFont="1" applyFill="1" applyBorder="1" applyAlignment="1">
      <alignment horizontal="left" wrapText="1"/>
    </xf>
    <xf numFmtId="167" fontId="2" fillId="13" borderId="3" xfId="12" applyNumberFormat="1" applyFont="1" applyFill="1" applyBorder="1" applyAlignment="1"/>
    <xf numFmtId="167" fontId="2" fillId="0" borderId="9" xfId="12" applyNumberFormat="1" applyFont="1" applyBorder="1" applyAlignment="1">
      <alignment horizontal="left" wrapText="1"/>
    </xf>
    <xf numFmtId="167" fontId="2" fillId="22" borderId="9" xfId="12" applyNumberFormat="1" applyFont="1" applyFill="1" applyBorder="1" applyAlignment="1"/>
    <xf numFmtId="167" fontId="2" fillId="0" borderId="9" xfId="12" applyNumberFormat="1" applyFont="1" applyBorder="1" applyAlignment="1"/>
    <xf numFmtId="167" fontId="1" fillId="13" borderId="9" xfId="12" applyNumberFormat="1" applyFont="1" applyFill="1" applyBorder="1" applyAlignment="1">
      <alignment horizontal="center"/>
    </xf>
    <xf numFmtId="167" fontId="2" fillId="22" borderId="15" xfId="12" applyNumberFormat="1" applyFont="1" applyFill="1" applyBorder="1" applyAlignment="1"/>
    <xf numFmtId="167" fontId="2" fillId="22" borderId="11" xfId="12" applyNumberFormat="1" applyFont="1" applyFill="1" applyBorder="1" applyAlignment="1"/>
    <xf numFmtId="167" fontId="2" fillId="0" borderId="11" xfId="12" applyNumberFormat="1" applyFont="1" applyBorder="1" applyAlignment="1"/>
    <xf numFmtId="167" fontId="2" fillId="22" borderId="12" xfId="12" applyNumberFormat="1" applyFont="1" applyFill="1" applyBorder="1" applyAlignment="1"/>
    <xf numFmtId="167" fontId="2" fillId="0" borderId="12" xfId="12" applyNumberFormat="1" applyFont="1" applyBorder="1" applyAlignment="1"/>
    <xf numFmtId="167" fontId="2" fillId="0" borderId="12" xfId="12" applyNumberFormat="1" applyFont="1" applyBorder="1" applyAlignment="1">
      <alignment horizontal="left" wrapText="1"/>
    </xf>
    <xf numFmtId="167" fontId="1" fillId="13" borderId="12" xfId="12" applyNumberFormat="1" applyFont="1" applyFill="1" applyBorder="1" applyAlignment="1">
      <alignment horizontal="center"/>
    </xf>
    <xf numFmtId="167" fontId="2" fillId="0" borderId="6" xfId="13" applyNumberFormat="1" applyFont="1" applyBorder="1" applyAlignment="1">
      <alignment horizontal="left"/>
    </xf>
    <xf numFmtId="167" fontId="2" fillId="0" borderId="6" xfId="13" applyNumberFormat="1" applyFont="1" applyBorder="1" applyAlignment="1"/>
    <xf numFmtId="167" fontId="1" fillId="13" borderId="6" xfId="13" applyNumberFormat="1" applyFont="1" applyFill="1" applyBorder="1" applyAlignment="1">
      <alignment horizontal="center"/>
    </xf>
    <xf numFmtId="0" fontId="2" fillId="0" borderId="0" xfId="20" applyFont="1" applyAlignment="1"/>
    <xf numFmtId="167" fontId="2" fillId="0" borderId="7" xfId="13" applyNumberFormat="1" applyFont="1" applyBorder="1" applyAlignment="1">
      <alignment horizontal="left"/>
    </xf>
    <xf numFmtId="167" fontId="2" fillId="0" borderId="7" xfId="13" applyNumberFormat="1" applyFont="1" applyBorder="1" applyAlignment="1"/>
    <xf numFmtId="167" fontId="1" fillId="13" borderId="7" xfId="13" applyNumberFormat="1" applyFont="1" applyFill="1" applyBorder="1" applyAlignment="1">
      <alignment horizontal="center"/>
    </xf>
    <xf numFmtId="0" fontId="2" fillId="0" borderId="7" xfId="20" applyFont="1" applyBorder="1" applyAlignment="1">
      <alignment wrapText="1"/>
    </xf>
    <xf numFmtId="0" fontId="2" fillId="0" borderId="8" xfId="20" applyFont="1" applyBorder="1" applyAlignment="1">
      <alignment wrapText="1"/>
    </xf>
    <xf numFmtId="167" fontId="2" fillId="0" borderId="8" xfId="13" applyNumberFormat="1" applyFont="1" applyBorder="1" applyAlignment="1">
      <alignment horizontal="left"/>
    </xf>
    <xf numFmtId="167" fontId="2" fillId="0" borderId="8" xfId="13" applyNumberFormat="1" applyFont="1" applyBorder="1" applyAlignment="1"/>
    <xf numFmtId="167" fontId="1" fillId="13" borderId="8" xfId="13" applyNumberFormat="1" applyFont="1" applyFill="1" applyBorder="1" applyAlignment="1">
      <alignment horizontal="center"/>
    </xf>
    <xf numFmtId="0" fontId="2" fillId="0" borderId="6" xfId="20" applyFont="1" applyBorder="1" applyAlignment="1">
      <alignment wrapText="1"/>
    </xf>
    <xf numFmtId="0" fontId="2" fillId="22" borderId="19" xfId="19" applyFont="1" applyFill="1" applyBorder="1" applyAlignment="1">
      <alignment horizontal="left"/>
    </xf>
    <xf numFmtId="3" fontId="2" fillId="0" borderId="12" xfId="19" applyNumberFormat="1" applyFont="1" applyBorder="1" applyAlignment="1"/>
    <xf numFmtId="167" fontId="2" fillId="0" borderId="12" xfId="14" applyNumberFormat="1" applyFont="1" applyBorder="1" applyAlignment="1"/>
    <xf numFmtId="167" fontId="2" fillId="0" borderId="12" xfId="14" applyNumberFormat="1" applyFont="1" applyFill="1" applyBorder="1" applyAlignment="1"/>
    <xf numFmtId="167" fontId="1" fillId="13" borderId="12" xfId="14" applyNumberFormat="1" applyFont="1" applyFill="1" applyBorder="1" applyAlignment="1">
      <alignment horizontal="center"/>
    </xf>
    <xf numFmtId="167" fontId="2" fillId="22" borderId="12" xfId="14" applyNumberFormat="1" applyFont="1" applyFill="1" applyBorder="1" applyAlignment="1"/>
    <xf numFmtId="0" fontId="2" fillId="22" borderId="20" xfId="19" applyFont="1" applyFill="1" applyBorder="1" applyAlignment="1">
      <alignment horizontal="left"/>
    </xf>
    <xf numFmtId="3" fontId="2" fillId="0" borderId="3" xfId="19" applyNumberFormat="1" applyFont="1" applyBorder="1" applyAlignment="1"/>
    <xf numFmtId="167" fontId="2" fillId="0" borderId="3" xfId="14" applyNumberFormat="1" applyFont="1" applyBorder="1" applyAlignment="1"/>
    <xf numFmtId="167" fontId="2" fillId="0" borderId="3" xfId="14" applyNumberFormat="1" applyFont="1" applyFill="1" applyBorder="1" applyAlignment="1"/>
    <xf numFmtId="167" fontId="2" fillId="0" borderId="15" xfId="14" applyNumberFormat="1" applyFont="1" applyBorder="1" applyAlignment="1"/>
    <xf numFmtId="3" fontId="2" fillId="0" borderId="15" xfId="19" applyNumberFormat="1" applyFont="1" applyBorder="1" applyAlignment="1"/>
    <xf numFmtId="167" fontId="2" fillId="0" borderId="12" xfId="14" applyNumberFormat="1" applyFont="1" applyBorder="1" applyAlignment="1">
      <alignment horizontal="left" wrapText="1"/>
    </xf>
    <xf numFmtId="167" fontId="2" fillId="0" borderId="13" xfId="14" applyNumberFormat="1" applyFont="1" applyBorder="1" applyAlignment="1"/>
    <xf numFmtId="167" fontId="2" fillId="0" borderId="3" xfId="14" applyNumberFormat="1" applyFont="1" applyBorder="1" applyAlignment="1">
      <alignment horizontal="left" wrapText="1"/>
    </xf>
    <xf numFmtId="167" fontId="2" fillId="0" borderId="3" xfId="14" applyNumberFormat="1" applyFont="1" applyBorder="1" applyAlignment="1">
      <alignment horizontal="left"/>
    </xf>
    <xf numFmtId="0" fontId="1" fillId="0" borderId="0" xfId="20" applyFont="1" applyAlignment="1"/>
    <xf numFmtId="167" fontId="2" fillId="0" borderId="9" xfId="14" applyNumberFormat="1" applyFont="1" applyBorder="1" applyAlignment="1">
      <alignment horizontal="left"/>
    </xf>
    <xf numFmtId="167" fontId="2" fillId="22" borderId="9" xfId="14" applyNumberFormat="1" applyFont="1" applyFill="1" applyBorder="1" applyAlignment="1"/>
    <xf numFmtId="167" fontId="2" fillId="0" borderId="9" xfId="14" applyNumberFormat="1" applyFont="1" applyBorder="1" applyAlignment="1"/>
    <xf numFmtId="167" fontId="2" fillId="0" borderId="9" xfId="14" applyNumberFormat="1" applyFont="1" applyFill="1" applyBorder="1" applyAlignment="1"/>
    <xf numFmtId="167" fontId="1" fillId="13" borderId="9" xfId="14" applyNumberFormat="1" applyFont="1" applyFill="1" applyBorder="1" applyAlignment="1">
      <alignment horizontal="center"/>
    </xf>
    <xf numFmtId="0" fontId="2" fillId="22" borderId="21" xfId="19" applyFont="1" applyFill="1" applyBorder="1" applyAlignment="1">
      <alignment wrapText="1"/>
    </xf>
    <xf numFmtId="167" fontId="2" fillId="0" borderId="3" xfId="14" applyNumberFormat="1" applyFont="1" applyBorder="1" applyAlignment="1">
      <alignment wrapText="1"/>
    </xf>
    <xf numFmtId="167" fontId="2" fillId="22" borderId="3" xfId="14" applyNumberFormat="1" applyFont="1" applyFill="1" applyBorder="1" applyAlignment="1">
      <alignment horizontal="left"/>
    </xf>
    <xf numFmtId="167" fontId="1" fillId="25" borderId="3" xfId="14" applyNumberFormat="1" applyFont="1" applyFill="1" applyBorder="1" applyAlignment="1">
      <alignment horizontal="center"/>
    </xf>
    <xf numFmtId="0" fontId="2" fillId="22" borderId="3" xfId="26" applyFont="1" applyFill="1" applyBorder="1" applyAlignment="1">
      <alignment wrapText="1"/>
    </xf>
    <xf numFmtId="0" fontId="2" fillId="0" borderId="0" xfId="20" applyFont="1" applyFill="1" applyAlignment="1"/>
    <xf numFmtId="167" fontId="2" fillId="22" borderId="21" xfId="14" applyNumberFormat="1" applyFont="1" applyFill="1" applyBorder="1" applyAlignment="1">
      <alignment horizontal="left"/>
    </xf>
    <xf numFmtId="167" fontId="2" fillId="22" borderId="21" xfId="14" applyNumberFormat="1" applyFont="1" applyFill="1" applyBorder="1" applyAlignment="1"/>
    <xf numFmtId="167" fontId="1" fillId="25" borderId="21" xfId="14" applyNumberFormat="1" applyFont="1" applyFill="1" applyBorder="1" applyAlignment="1">
      <alignment horizontal="center"/>
    </xf>
    <xf numFmtId="167" fontId="1" fillId="13" borderId="21" xfId="14" applyNumberFormat="1" applyFont="1" applyFill="1" applyBorder="1" applyAlignment="1">
      <alignment horizontal="center"/>
    </xf>
    <xf numFmtId="0" fontId="2" fillId="0" borderId="3" xfId="19" applyFont="1" applyBorder="1" applyAlignment="1">
      <alignment wrapText="1"/>
    </xf>
    <xf numFmtId="167" fontId="1" fillId="12" borderId="3" xfId="14" applyNumberFormat="1" applyFont="1" applyFill="1" applyBorder="1" applyAlignment="1">
      <alignment horizontal="center"/>
    </xf>
    <xf numFmtId="0" fontId="1" fillId="26" borderId="0" xfId="19" applyFont="1" applyFill="1" applyAlignment="1"/>
    <xf numFmtId="167" fontId="1" fillId="22" borderId="3" xfId="14" applyNumberFormat="1" applyFont="1" applyFill="1" applyBorder="1" applyAlignment="1"/>
    <xf numFmtId="167" fontId="2" fillId="22" borderId="22" xfId="12" applyNumberFormat="1" applyFont="1" applyFill="1" applyBorder="1" applyAlignment="1">
      <alignment wrapText="1"/>
    </xf>
    <xf numFmtId="167" fontId="2" fillId="22" borderId="3" xfId="13" applyNumberFormat="1" applyFont="1" applyFill="1" applyBorder="1" applyAlignment="1">
      <alignment horizontal="left"/>
    </xf>
    <xf numFmtId="167" fontId="2" fillId="22" borderId="3" xfId="13" applyNumberFormat="1" applyFont="1" applyFill="1" applyBorder="1" applyAlignment="1"/>
    <xf numFmtId="164" fontId="1" fillId="22" borderId="11" xfId="17" applyFont="1" applyFill="1" applyBorder="1" applyAlignment="1">
      <alignment wrapText="1"/>
    </xf>
    <xf numFmtId="167" fontId="2" fillId="0" borderId="3" xfId="13" applyNumberFormat="1" applyFont="1" applyBorder="1" applyAlignment="1">
      <alignment horizontal="left"/>
    </xf>
    <xf numFmtId="167" fontId="2" fillId="0" borderId="3" xfId="13" applyNumberFormat="1" applyFont="1" applyBorder="1" applyAlignment="1"/>
    <xf numFmtId="167" fontId="2" fillId="0" borderId="22" xfId="12" applyNumberFormat="1" applyFont="1" applyBorder="1" applyAlignment="1">
      <alignment wrapText="1"/>
    </xf>
    <xf numFmtId="0" fontId="2" fillId="22" borderId="3" xfId="23" applyFont="1" applyFill="1" applyBorder="1" applyAlignment="1">
      <alignment horizontal="left"/>
    </xf>
    <xf numFmtId="167" fontId="1" fillId="22" borderId="11" xfId="12" applyNumberFormat="1" applyFont="1" applyFill="1" applyBorder="1" applyAlignment="1">
      <alignment wrapText="1"/>
    </xf>
    <xf numFmtId="167" fontId="1" fillId="22" borderId="9" xfId="12" applyNumberFormat="1" applyFont="1" applyFill="1" applyBorder="1" applyAlignment="1">
      <alignment wrapText="1"/>
    </xf>
    <xf numFmtId="167" fontId="2" fillId="0" borderId="13" xfId="12" applyNumberFormat="1" applyFont="1" applyFill="1" applyBorder="1" applyAlignment="1">
      <alignment wrapText="1"/>
    </xf>
    <xf numFmtId="167" fontId="2" fillId="0" borderId="14" xfId="12" applyNumberFormat="1" applyFont="1" applyFill="1" applyBorder="1" applyAlignment="1">
      <alignment horizontal="left"/>
    </xf>
    <xf numFmtId="167" fontId="2" fillId="0" borderId="14" xfId="12" applyNumberFormat="1" applyFont="1" applyBorder="1" applyAlignment="1"/>
    <xf numFmtId="167" fontId="2" fillId="13" borderId="14" xfId="12" applyNumberFormat="1" applyFont="1" applyFill="1" applyBorder="1" applyAlignment="1"/>
    <xf numFmtId="167" fontId="2" fillId="13" borderId="19" xfId="12" applyNumberFormat="1" applyFont="1" applyFill="1" applyBorder="1" applyAlignment="1"/>
    <xf numFmtId="0" fontId="2" fillId="0" borderId="0" xfId="19" applyFont="1" applyFill="1" applyAlignment="1"/>
    <xf numFmtId="167" fontId="3" fillId="0" borderId="0" xfId="12" applyNumberFormat="1" applyFont="1" applyFill="1" applyAlignment="1">
      <alignment wrapText="1"/>
    </xf>
    <xf numFmtId="167" fontId="3" fillId="0" borderId="0" xfId="12" applyNumberFormat="1" applyFont="1" applyFill="1" applyBorder="1" applyAlignment="1">
      <alignment horizontal="left"/>
    </xf>
    <xf numFmtId="167" fontId="30" fillId="0" borderId="0" xfId="12" applyNumberFormat="1" applyFont="1" applyAlignment="1"/>
    <xf numFmtId="167" fontId="3" fillId="13" borderId="0" xfId="12" applyNumberFormat="1" applyFont="1" applyFill="1" applyAlignment="1"/>
    <xf numFmtId="0" fontId="3" fillId="0" borderId="0" xfId="19" applyFont="1" applyFill="1" applyAlignment="1"/>
    <xf numFmtId="167" fontId="3" fillId="0" borderId="0" xfId="12" applyNumberFormat="1" applyFont="1" applyAlignment="1">
      <alignment wrapText="1"/>
    </xf>
    <xf numFmtId="167" fontId="3" fillId="0" borderId="0" xfId="12" applyNumberFormat="1" applyFont="1" applyBorder="1" applyAlignment="1">
      <alignment horizontal="left"/>
    </xf>
    <xf numFmtId="167" fontId="15" fillId="22" borderId="3" xfId="12" applyNumberFormat="1" applyFont="1" applyFill="1" applyBorder="1" applyAlignment="1">
      <alignment wrapText="1"/>
    </xf>
    <xf numFmtId="49" fontId="15" fillId="22" borderId="3" xfId="12" applyNumberFormat="1" applyFont="1" applyFill="1" applyBorder="1" applyAlignment="1">
      <alignment wrapText="1"/>
    </xf>
    <xf numFmtId="167" fontId="15" fillId="0" borderId="3" xfId="16" applyNumberFormat="1" applyFont="1" applyBorder="1" applyAlignment="1">
      <alignment horizontal="left" wrapText="1"/>
    </xf>
    <xf numFmtId="167" fontId="15" fillId="22" borderId="3" xfId="12" applyNumberFormat="1" applyFont="1" applyFill="1" applyBorder="1" applyAlignment="1">
      <alignment vertical="center" wrapText="1"/>
    </xf>
    <xf numFmtId="167" fontId="2" fillId="15" borderId="3" xfId="12" applyNumberFormat="1" applyFont="1" applyFill="1" applyBorder="1" applyAlignment="1">
      <alignment horizontal="left"/>
    </xf>
    <xf numFmtId="167" fontId="2" fillId="15" borderId="3" xfId="11" applyNumberFormat="1" applyFont="1" applyFill="1" applyBorder="1" applyAlignment="1"/>
    <xf numFmtId="167" fontId="1" fillId="26" borderId="3" xfId="12" applyNumberFormat="1" applyFont="1" applyFill="1" applyBorder="1" applyAlignment="1">
      <alignment wrapText="1"/>
    </xf>
    <xf numFmtId="167" fontId="1" fillId="26" borderId="3" xfId="12" applyNumberFormat="1" applyFont="1" applyFill="1" applyBorder="1" applyAlignment="1">
      <alignment horizontal="left"/>
    </xf>
    <xf numFmtId="167" fontId="1" fillId="26" borderId="3" xfId="13" applyNumberFormat="1" applyFont="1" applyFill="1" applyBorder="1" applyAlignment="1">
      <alignment horizontal="left"/>
    </xf>
    <xf numFmtId="167" fontId="2" fillId="26" borderId="7" xfId="13" applyNumberFormat="1" applyFont="1" applyFill="1" applyBorder="1" applyAlignment="1"/>
    <xf numFmtId="167" fontId="1" fillId="26" borderId="3" xfId="13" applyNumberFormat="1" applyFont="1" applyFill="1" applyBorder="1" applyAlignment="1">
      <alignment wrapText="1"/>
    </xf>
    <xf numFmtId="167" fontId="1" fillId="26" borderId="3" xfId="13" applyNumberFormat="1" applyFont="1" applyFill="1" applyBorder="1" applyAlignment="1">
      <alignment horizontal="center"/>
    </xf>
    <xf numFmtId="15" fontId="61" fillId="27" borderId="3" xfId="0" applyNumberFormat="1" applyFont="1" applyFill="1" applyBorder="1" applyAlignment="1">
      <alignment horizontal="center" vertical="center" wrapText="1"/>
    </xf>
    <xf numFmtId="15" fontId="61" fillId="27" borderId="3" xfId="0" applyNumberFormat="1" applyFont="1" applyFill="1" applyBorder="1" applyAlignment="1">
      <alignment horizontal="center" vertical="center"/>
    </xf>
    <xf numFmtId="0" fontId="80" fillId="6" borderId="3" xfId="1" applyFont="1" applyBorder="1" applyAlignment="1">
      <alignment horizontal="left" wrapText="1"/>
    </xf>
    <xf numFmtId="0" fontId="0" fillId="0" borderId="0" xfId="0" applyAlignment="1">
      <alignment vertical="center"/>
    </xf>
    <xf numFmtId="0" fontId="81" fillId="0" borderId="0" xfId="0" applyFont="1" applyAlignment="1">
      <alignment horizontal="center" vertical="center" wrapText="1"/>
    </xf>
    <xf numFmtId="0" fontId="2" fillId="28" borderId="9" xfId="0" applyFont="1" applyFill="1" applyBorder="1" applyAlignment="1">
      <alignment horizontal="center" vertical="center" wrapText="1"/>
    </xf>
    <xf numFmtId="0" fontId="2" fillId="28" borderId="12" xfId="0" applyFont="1" applyFill="1" applyBorder="1" applyAlignment="1">
      <alignment horizontal="center" vertical="center" wrapText="1"/>
    </xf>
    <xf numFmtId="0" fontId="61" fillId="28" borderId="9" xfId="0" applyFont="1" applyFill="1" applyBorder="1" applyAlignment="1">
      <alignment horizontal="center" vertical="center" wrapText="1"/>
    </xf>
    <xf numFmtId="0" fontId="61" fillId="28" borderId="11" xfId="0" applyFont="1" applyFill="1" applyBorder="1" applyAlignment="1">
      <alignment horizontal="center" vertical="center" wrapText="1"/>
    </xf>
    <xf numFmtId="0" fontId="61" fillId="28" borderId="12" xfId="0" applyFont="1" applyFill="1" applyBorder="1" applyAlignment="1">
      <alignment horizontal="center" vertical="center" wrapText="1"/>
    </xf>
    <xf numFmtId="0" fontId="61" fillId="19" borderId="3" xfId="0" applyFont="1" applyFill="1" applyBorder="1" applyAlignment="1">
      <alignment horizontal="center" vertical="center" wrapText="1"/>
    </xf>
    <xf numFmtId="0" fontId="61" fillId="13" borderId="12" xfId="0" applyFont="1" applyFill="1" applyBorder="1" applyAlignment="1">
      <alignment horizontal="center" vertical="center" wrapText="1"/>
    </xf>
    <xf numFmtId="15" fontId="61" fillId="29" borderId="3" xfId="0" applyNumberFormat="1" applyFont="1" applyFill="1" applyBorder="1" applyAlignment="1">
      <alignment horizontal="center" vertical="center"/>
    </xf>
    <xf numFmtId="0" fontId="61" fillId="29" borderId="3" xfId="0" applyFont="1" applyFill="1" applyBorder="1" applyAlignment="1">
      <alignment horizontal="center" vertical="center"/>
    </xf>
    <xf numFmtId="0" fontId="61" fillId="29" borderId="3" xfId="0" applyFont="1" applyFill="1" applyBorder="1" applyAlignment="1">
      <alignment horizontal="center" vertical="center" wrapText="1"/>
    </xf>
    <xf numFmtId="15" fontId="61" fillId="26" borderId="3" xfId="0" applyNumberFormat="1" applyFont="1" applyFill="1" applyBorder="1" applyAlignment="1">
      <alignment horizontal="center" vertical="center"/>
    </xf>
    <xf numFmtId="15" fontId="61" fillId="26" borderId="15" xfId="0" applyNumberFormat="1" applyFont="1" applyFill="1" applyBorder="1" applyAlignment="1">
      <alignment horizontal="center" vertical="center"/>
    </xf>
    <xf numFmtId="0" fontId="69" fillId="26" borderId="0" xfId="0" applyFont="1" applyFill="1" applyAlignment="1">
      <alignment horizontal="center"/>
    </xf>
    <xf numFmtId="0" fontId="0" fillId="18" borderId="0" xfId="0" applyFill="1"/>
    <xf numFmtId="0" fontId="61" fillId="0" borderId="12" xfId="0" applyFont="1" applyFill="1" applyBorder="1" applyAlignment="1">
      <alignment horizontal="center" vertical="center" wrapText="1"/>
    </xf>
    <xf numFmtId="14" fontId="61" fillId="30" borderId="3" xfId="0" applyNumberFormat="1" applyFont="1" applyFill="1" applyBorder="1" applyAlignment="1">
      <alignment horizontal="center" vertical="center" wrapText="1"/>
    </xf>
    <xf numFmtId="0" fontId="61" fillId="30" borderId="0" xfId="0" applyFont="1" applyFill="1"/>
    <xf numFmtId="0" fontId="61" fillId="30" borderId="3" xfId="0" applyFont="1" applyFill="1" applyBorder="1" applyAlignment="1">
      <alignment horizontal="center" vertical="center" wrapText="1"/>
    </xf>
    <xf numFmtId="9" fontId="61" fillId="23" borderId="3" xfId="0" applyNumberFormat="1" applyFont="1" applyFill="1" applyBorder="1" applyAlignment="1">
      <alignment horizontal="center" vertical="center" wrapText="1"/>
    </xf>
    <xf numFmtId="15" fontId="61" fillId="23" borderId="3" xfId="0" applyNumberFormat="1" applyFont="1" applyFill="1" applyBorder="1" applyAlignment="1">
      <alignment horizontal="center" vertical="center" wrapText="1"/>
    </xf>
    <xf numFmtId="15" fontId="61" fillId="23" borderId="20" xfId="0" applyNumberFormat="1" applyFont="1" applyFill="1" applyBorder="1" applyAlignment="1">
      <alignment horizontal="center" vertical="center" wrapText="1"/>
    </xf>
    <xf numFmtId="0" fontId="61" fillId="23" borderId="3" xfId="0" applyFont="1" applyFill="1" applyBorder="1" applyAlignment="1">
      <alignment horizontal="center" vertical="center" wrapText="1"/>
    </xf>
    <xf numFmtId="0" fontId="82" fillId="8" borderId="3" xfId="6" applyFont="1" applyBorder="1" applyAlignment="1">
      <alignment horizontal="center" vertical="center" wrapText="1"/>
    </xf>
    <xf numFmtId="0" fontId="82" fillId="8" borderId="3" xfId="6" applyFont="1" applyBorder="1" applyAlignment="1">
      <alignment horizontal="center" vertical="center"/>
    </xf>
    <xf numFmtId="0" fontId="41" fillId="0" borderId="0" xfId="0" applyFont="1" applyBorder="1" applyAlignment="1">
      <alignment horizontal="left" vertical="center"/>
    </xf>
    <xf numFmtId="0" fontId="83" fillId="13" borderId="0" xfId="0" applyFont="1" applyFill="1" applyBorder="1" applyAlignment="1">
      <alignment horizontal="left" vertical="center" wrapText="1"/>
    </xf>
    <xf numFmtId="0" fontId="83" fillId="0" borderId="0" xfId="0" applyFont="1" applyBorder="1" applyAlignment="1">
      <alignment horizontal="left"/>
    </xf>
    <xf numFmtId="0" fontId="83" fillId="0" borderId="0" xfId="0" applyFont="1" applyAlignment="1">
      <alignment horizontal="left"/>
    </xf>
    <xf numFmtId="0" fontId="61" fillId="22" borderId="0" xfId="0" applyFont="1" applyFill="1" applyAlignment="1">
      <alignment vertical="center"/>
    </xf>
    <xf numFmtId="0" fontId="66" fillId="22" borderId="0" xfId="0" applyFont="1" applyFill="1"/>
    <xf numFmtId="0" fontId="61" fillId="22" borderId="12" xfId="0" applyFont="1" applyFill="1" applyBorder="1" applyAlignment="1">
      <alignment horizontal="center" vertical="center" wrapText="1"/>
    </xf>
    <xf numFmtId="0" fontId="66" fillId="22" borderId="3" xfId="0" applyFont="1" applyFill="1" applyBorder="1"/>
    <xf numFmtId="15" fontId="61" fillId="28" borderId="3" xfId="0" applyNumberFormat="1" applyFont="1" applyFill="1" applyBorder="1" applyAlignment="1">
      <alignment horizontal="center" vertical="center" wrapText="1"/>
    </xf>
    <xf numFmtId="0" fontId="61" fillId="28" borderId="3" xfId="0" applyFont="1" applyFill="1" applyBorder="1" applyAlignment="1">
      <alignment vertical="center" wrapText="1"/>
    </xf>
    <xf numFmtId="0" fontId="61" fillId="28" borderId="3" xfId="0" applyFont="1" applyFill="1" applyBorder="1" applyAlignment="1">
      <alignment horizontal="center" vertical="center" wrapText="1"/>
    </xf>
    <xf numFmtId="0" fontId="61" fillId="28" borderId="3" xfId="0" applyFont="1" applyFill="1" applyBorder="1" applyAlignment="1">
      <alignment horizontal="center" wrapText="1"/>
    </xf>
    <xf numFmtId="0" fontId="82" fillId="8" borderId="20" xfId="6" applyFont="1" applyBorder="1" applyAlignment="1">
      <alignment horizontal="center" vertical="center"/>
    </xf>
    <xf numFmtId="0" fontId="83" fillId="30" borderId="20" xfId="0" applyFont="1" applyFill="1" applyBorder="1" applyAlignment="1">
      <alignment horizontal="left" vertical="center" wrapText="1"/>
    </xf>
    <xf numFmtId="0" fontId="83" fillId="18" borderId="20" xfId="0" applyFont="1" applyFill="1" applyBorder="1" applyAlignment="1">
      <alignment horizontal="left" vertical="center" wrapText="1"/>
    </xf>
    <xf numFmtId="0" fontId="84" fillId="23" borderId="20" xfId="0" applyFont="1" applyFill="1" applyBorder="1" applyAlignment="1">
      <alignment horizontal="left" vertical="center" wrapText="1" readingOrder="1"/>
    </xf>
    <xf numFmtId="0" fontId="83" fillId="26" borderId="20" xfId="0" applyFont="1" applyFill="1" applyBorder="1" applyAlignment="1">
      <alignment horizontal="left" vertical="center" wrapText="1"/>
    </xf>
    <xf numFmtId="0" fontId="83" fillId="28" borderId="20" xfId="0" applyFont="1" applyFill="1" applyBorder="1" applyAlignment="1">
      <alignment horizontal="left" vertical="center" wrapText="1"/>
    </xf>
    <xf numFmtId="0" fontId="83" fillId="28" borderId="20" xfId="0" applyFont="1" applyFill="1" applyBorder="1" applyAlignment="1">
      <alignment horizontal="left" vertical="top" wrapText="1"/>
    </xf>
    <xf numFmtId="0" fontId="84" fillId="28" borderId="20" xfId="0" applyFont="1" applyFill="1" applyBorder="1" applyAlignment="1">
      <alignment horizontal="left" vertical="center" readingOrder="1"/>
    </xf>
    <xf numFmtId="0" fontId="84" fillId="28" borderId="19" xfId="0" applyFont="1" applyFill="1" applyBorder="1" applyAlignment="1">
      <alignment horizontal="left" vertical="center" wrapText="1" readingOrder="1"/>
    </xf>
    <xf numFmtId="0" fontId="84" fillId="28" borderId="20" xfId="0" applyFont="1" applyFill="1" applyBorder="1" applyAlignment="1">
      <alignment horizontal="left" vertical="center" wrapText="1" readingOrder="1"/>
    </xf>
    <xf numFmtId="0" fontId="85" fillId="27" borderId="20" xfId="0" applyFont="1" applyFill="1" applyBorder="1" applyAlignment="1">
      <alignment horizontal="left" vertical="center"/>
    </xf>
    <xf numFmtId="0" fontId="85" fillId="27" borderId="20" xfId="0" applyFont="1" applyFill="1" applyBorder="1" applyAlignment="1">
      <alignment horizontal="left" wrapText="1"/>
    </xf>
    <xf numFmtId="0" fontId="85" fillId="27" borderId="20" xfId="0" applyFont="1" applyFill="1" applyBorder="1" applyAlignment="1">
      <alignment horizontal="left" vertical="center" wrapText="1"/>
    </xf>
    <xf numFmtId="0" fontId="85" fillId="29" borderId="20" xfId="0" applyFont="1" applyFill="1" applyBorder="1" applyAlignment="1">
      <alignment horizontal="left" vertical="center" wrapText="1"/>
    </xf>
    <xf numFmtId="0" fontId="85" fillId="26" borderId="20" xfId="0" applyFont="1" applyFill="1" applyBorder="1" applyAlignment="1">
      <alignment horizontal="left" vertical="center" wrapText="1"/>
    </xf>
    <xf numFmtId="0" fontId="61" fillId="29" borderId="3" xfId="0" applyFont="1" applyFill="1" applyBorder="1" applyAlignment="1">
      <alignment vertical="center" wrapText="1"/>
    </xf>
    <xf numFmtId="0" fontId="86" fillId="0" borderId="0" xfId="0" applyFont="1" applyBorder="1" applyAlignment="1">
      <alignment vertical="center"/>
    </xf>
    <xf numFmtId="0" fontId="87" fillId="0" borderId="0" xfId="0" applyFont="1" applyAlignment="1">
      <alignment horizontal="justify" vertical="center"/>
    </xf>
    <xf numFmtId="0" fontId="88" fillId="0" borderId="0" xfId="0" applyFont="1" applyAlignment="1">
      <alignment horizontal="justify" vertical="center"/>
    </xf>
    <xf numFmtId="0" fontId="89" fillId="0" borderId="0" xfId="0" applyFont="1" applyAlignment="1">
      <alignment horizontal="justify" vertical="center"/>
    </xf>
    <xf numFmtId="0" fontId="87" fillId="20" borderId="0" xfId="0" applyFont="1" applyFill="1" applyAlignment="1">
      <alignment horizontal="justify" vertical="center"/>
    </xf>
    <xf numFmtId="0" fontId="88" fillId="0" borderId="0" xfId="0" applyFont="1" applyAlignment="1">
      <alignment horizontal="left" vertical="center"/>
    </xf>
    <xf numFmtId="0" fontId="90" fillId="0" borderId="0" xfId="0" applyFont="1" applyAlignment="1">
      <alignment horizontal="left" vertical="center"/>
    </xf>
    <xf numFmtId="0" fontId="86" fillId="0" borderId="23" xfId="0" applyFont="1" applyBorder="1" applyAlignment="1">
      <alignment horizontal="center" vertical="center" wrapText="1"/>
    </xf>
    <xf numFmtId="0" fontId="86" fillId="0" borderId="24" xfId="0" applyFont="1" applyBorder="1" applyAlignment="1">
      <alignment horizontal="center" vertical="center" wrapText="1"/>
    </xf>
    <xf numFmtId="0" fontId="0" fillId="0" borderId="18" xfId="0" applyBorder="1"/>
    <xf numFmtId="0" fontId="86" fillId="0" borderId="25" xfId="0" applyFont="1" applyBorder="1" applyAlignment="1">
      <alignment horizontal="center" vertical="center"/>
    </xf>
    <xf numFmtId="0" fontId="86" fillId="0" borderId="3" xfId="0" applyFont="1" applyBorder="1" applyAlignment="1">
      <alignment horizontal="center" vertical="center"/>
    </xf>
    <xf numFmtId="0" fontId="86" fillId="0" borderId="26" xfId="0" applyFont="1" applyBorder="1" applyAlignment="1">
      <alignment horizontal="center" vertical="center"/>
    </xf>
    <xf numFmtId="0" fontId="0" fillId="22" borderId="18" xfId="0" applyFill="1" applyBorder="1"/>
    <xf numFmtId="0" fontId="0" fillId="0" borderId="27" xfId="0" applyBorder="1"/>
    <xf numFmtId="0" fontId="86" fillId="0" borderId="28" xfId="0" applyFont="1" applyBorder="1" applyAlignment="1">
      <alignment horizontal="center" vertical="center"/>
    </xf>
    <xf numFmtId="0" fontId="86" fillId="0" borderId="21" xfId="0" applyFont="1" applyBorder="1" applyAlignment="1">
      <alignment horizontal="center" vertical="center"/>
    </xf>
    <xf numFmtId="0" fontId="86" fillId="0" borderId="29" xfId="0" applyFont="1" applyBorder="1" applyAlignment="1">
      <alignment horizontal="center" vertical="center"/>
    </xf>
    <xf numFmtId="0" fontId="68" fillId="5" borderId="30" xfId="7" applyFont="1" applyBorder="1" applyAlignment="1">
      <alignment horizontal="center" vertical="center"/>
    </xf>
    <xf numFmtId="0" fontId="0" fillId="0" borderId="18" xfId="0" applyBorder="1" applyAlignment="1">
      <alignment horizontal="left" vertical="center" wrapText="1"/>
    </xf>
    <xf numFmtId="0" fontId="86" fillId="0" borderId="31" xfId="0" applyFont="1" applyBorder="1" applyAlignment="1">
      <alignment horizontal="center" vertical="center"/>
    </xf>
    <xf numFmtId="0" fontId="0" fillId="23" borderId="18" xfId="0" applyFill="1" applyBorder="1" applyAlignment="1">
      <alignment horizontal="left" vertical="center" wrapText="1"/>
    </xf>
    <xf numFmtId="0" fontId="86" fillId="0" borderId="25" xfId="0" applyFont="1" applyBorder="1" applyAlignment="1">
      <alignment horizontal="center" vertical="center" wrapText="1"/>
    </xf>
    <xf numFmtId="0" fontId="86" fillId="0" borderId="3" xfId="0" applyFont="1" applyBorder="1" applyAlignment="1">
      <alignment horizontal="center" vertical="center" wrapText="1"/>
    </xf>
    <xf numFmtId="0" fontId="69" fillId="23" borderId="27" xfId="0" applyFont="1" applyFill="1" applyBorder="1" applyAlignment="1">
      <alignment horizontal="left" vertical="center" wrapText="1"/>
    </xf>
    <xf numFmtId="0" fontId="86" fillId="0" borderId="28" xfId="0" applyFont="1" applyBorder="1" applyAlignment="1">
      <alignment horizontal="center" vertical="center" wrapText="1"/>
    </xf>
    <xf numFmtId="0" fontId="86" fillId="0" borderId="21" xfId="0" applyFont="1" applyBorder="1" applyAlignment="1">
      <alignment horizontal="center" vertical="center" wrapText="1"/>
    </xf>
    <xf numFmtId="0" fontId="70" fillId="0" borderId="21" xfId="0" applyFont="1" applyBorder="1" applyAlignment="1">
      <alignment horizontal="center" vertical="center" wrapText="1"/>
    </xf>
    <xf numFmtId="0" fontId="68" fillId="5" borderId="32" xfId="7" applyFont="1" applyBorder="1" applyAlignment="1">
      <alignment horizontal="center" vertical="center" wrapText="1"/>
    </xf>
    <xf numFmtId="0" fontId="68" fillId="5" borderId="33" xfId="7" applyFont="1" applyBorder="1" applyAlignment="1">
      <alignment horizontal="center" vertical="center" wrapText="1"/>
    </xf>
    <xf numFmtId="0" fontId="68" fillId="5" borderId="34" xfId="7" applyFont="1" applyBorder="1" applyAlignment="1">
      <alignment horizontal="center" vertical="center" wrapText="1"/>
    </xf>
    <xf numFmtId="0" fontId="68" fillId="5" borderId="0" xfId="7" applyFont="1" applyAlignment="1">
      <alignment horizontal="center"/>
    </xf>
    <xf numFmtId="0" fontId="91" fillId="9" borderId="23" xfId="2" applyFont="1" applyBorder="1" applyAlignment="1">
      <alignment horizontal="center" vertical="center" wrapText="1"/>
    </xf>
    <xf numFmtId="0" fontId="91" fillId="9" borderId="24" xfId="2" applyFont="1" applyBorder="1" applyAlignment="1">
      <alignment horizontal="center" vertical="center" wrapText="1"/>
    </xf>
    <xf numFmtId="0" fontId="91" fillId="9" borderId="31" xfId="2" applyFont="1" applyBorder="1" applyAlignment="1">
      <alignment horizontal="center" vertical="center" wrapText="1"/>
    </xf>
    <xf numFmtId="0" fontId="78" fillId="0" borderId="12" xfId="0" applyFont="1" applyFill="1" applyBorder="1" applyAlignment="1" applyProtection="1">
      <alignment horizontal="center" vertical="center" wrapText="1"/>
    </xf>
    <xf numFmtId="9" fontId="61" fillId="0" borderId="12" xfId="0" applyNumberFormat="1" applyFont="1" applyFill="1" applyBorder="1" applyAlignment="1" applyProtection="1">
      <alignment horizontal="center" vertical="center" wrapText="1"/>
    </xf>
    <xf numFmtId="0" fontId="61" fillId="0" borderId="12" xfId="0" applyFont="1" applyFill="1" applyBorder="1" applyAlignment="1" applyProtection="1">
      <alignment horizontal="center" vertical="center" wrapText="1"/>
    </xf>
    <xf numFmtId="0" fontId="82" fillId="8" borderId="35" xfId="6" applyFont="1" applyBorder="1" applyAlignment="1">
      <alignment horizontal="center" vertical="center" wrapText="1"/>
    </xf>
    <xf numFmtId="0" fontId="61" fillId="0" borderId="36" xfId="0" applyFont="1" applyBorder="1"/>
    <xf numFmtId="0" fontId="61" fillId="0" borderId="37" xfId="0" applyFont="1" applyBorder="1"/>
    <xf numFmtId="0" fontId="61" fillId="0" borderId="38" xfId="0" applyFont="1" applyBorder="1"/>
    <xf numFmtId="0" fontId="61" fillId="0" borderId="39" xfId="0" applyFont="1" applyBorder="1"/>
    <xf numFmtId="0" fontId="61" fillId="0" borderId="40" xfId="0" applyFont="1" applyBorder="1"/>
    <xf numFmtId="0" fontId="61" fillId="0" borderId="41" xfId="0" applyFont="1" applyBorder="1"/>
    <xf numFmtId="0" fontId="61" fillId="0" borderId="42" xfId="0" applyFont="1" applyBorder="1"/>
    <xf numFmtId="0" fontId="0" fillId="0" borderId="43" xfId="0" applyBorder="1"/>
    <xf numFmtId="0" fontId="0" fillId="0" borderId="39" xfId="0" applyBorder="1"/>
    <xf numFmtId="0" fontId="0" fillId="0" borderId="42" xfId="0" applyBorder="1"/>
    <xf numFmtId="0" fontId="61" fillId="31" borderId="44" xfId="0" applyFont="1" applyFill="1" applyBorder="1"/>
    <xf numFmtId="0" fontId="61" fillId="31" borderId="45" xfId="0" applyFont="1" applyFill="1" applyBorder="1"/>
    <xf numFmtId="0" fontId="61" fillId="31" borderId="36" xfId="0" applyFont="1" applyFill="1" applyBorder="1"/>
    <xf numFmtId="0" fontId="61" fillId="31" borderId="37" xfId="0" applyFont="1" applyFill="1" applyBorder="1"/>
    <xf numFmtId="0" fontId="61" fillId="31" borderId="38" xfId="0" applyFont="1" applyFill="1" applyBorder="1"/>
    <xf numFmtId="0" fontId="61" fillId="31" borderId="39" xfId="0" applyFont="1" applyFill="1" applyBorder="1"/>
    <xf numFmtId="0" fontId="61" fillId="31" borderId="40" xfId="0" applyFont="1" applyFill="1" applyBorder="1"/>
    <xf numFmtId="0" fontId="61" fillId="31" borderId="41" xfId="0" applyFont="1" applyFill="1" applyBorder="1"/>
    <xf numFmtId="0" fontId="61" fillId="31" borderId="42" xfId="0" applyFont="1" applyFill="1" applyBorder="1"/>
    <xf numFmtId="0" fontId="61" fillId="23" borderId="46" xfId="0" applyFont="1" applyFill="1" applyBorder="1"/>
    <xf numFmtId="0" fontId="61" fillId="23" borderId="47" xfId="0" applyFont="1" applyFill="1" applyBorder="1"/>
    <xf numFmtId="0" fontId="61" fillId="23" borderId="36" xfId="0" applyFont="1" applyFill="1" applyBorder="1"/>
    <xf numFmtId="0" fontId="61" fillId="23" borderId="37" xfId="0" applyFont="1" applyFill="1" applyBorder="1"/>
    <xf numFmtId="0" fontId="61" fillId="23" borderId="38" xfId="0" applyFont="1" applyFill="1" applyBorder="1"/>
    <xf numFmtId="0" fontId="61" fillId="23" borderId="39" xfId="0" applyFont="1" applyFill="1" applyBorder="1"/>
    <xf numFmtId="0" fontId="61" fillId="23" borderId="40" xfId="0" applyFont="1" applyFill="1" applyBorder="1"/>
    <xf numFmtId="0" fontId="61" fillId="23" borderId="41" xfId="0" applyFont="1" applyFill="1" applyBorder="1"/>
    <xf numFmtId="0" fontId="61" fillId="23" borderId="42" xfId="0" applyFont="1" applyFill="1" applyBorder="1"/>
    <xf numFmtId="0" fontId="61" fillId="28" borderId="46" xfId="0" applyFont="1" applyFill="1" applyBorder="1"/>
    <xf numFmtId="0" fontId="61" fillId="28" borderId="47" xfId="0" applyFont="1" applyFill="1" applyBorder="1"/>
    <xf numFmtId="0" fontId="61" fillId="28" borderId="36" xfId="0" applyFont="1" applyFill="1" applyBorder="1"/>
    <xf numFmtId="0" fontId="61" fillId="28" borderId="37" xfId="0" applyFont="1" applyFill="1" applyBorder="1"/>
    <xf numFmtId="0" fontId="61" fillId="28" borderId="38" xfId="0" applyFont="1" applyFill="1" applyBorder="1"/>
    <xf numFmtId="0" fontId="61" fillId="28" borderId="39" xfId="0" applyFont="1" applyFill="1" applyBorder="1"/>
    <xf numFmtId="0" fontId="0" fillId="28" borderId="37" xfId="0" applyFill="1" applyBorder="1"/>
    <xf numFmtId="0" fontId="0" fillId="28" borderId="38" xfId="0" applyFill="1" applyBorder="1"/>
    <xf numFmtId="0" fontId="0" fillId="28" borderId="39" xfId="0" applyFill="1" applyBorder="1"/>
    <xf numFmtId="0" fontId="61" fillId="28" borderId="40" xfId="0" applyFont="1" applyFill="1" applyBorder="1"/>
    <xf numFmtId="0" fontId="61" fillId="28" borderId="41" xfId="0" applyFont="1" applyFill="1" applyBorder="1"/>
    <xf numFmtId="0" fontId="61" fillId="28" borderId="42" xfId="0" applyFont="1" applyFill="1" applyBorder="1"/>
    <xf numFmtId="0" fontId="61" fillId="18" borderId="47" xfId="0" applyFont="1" applyFill="1" applyBorder="1"/>
    <xf numFmtId="0" fontId="61" fillId="18" borderId="36" xfId="0" applyFont="1" applyFill="1" applyBorder="1"/>
    <xf numFmtId="0" fontId="61" fillId="18" borderId="37" xfId="0" applyFont="1" applyFill="1" applyBorder="1"/>
    <xf numFmtId="0" fontId="61" fillId="18" borderId="38" xfId="0" applyFont="1" applyFill="1" applyBorder="1"/>
    <xf numFmtId="0" fontId="61" fillId="18" borderId="39" xfId="0" applyFont="1" applyFill="1" applyBorder="1"/>
    <xf numFmtId="0" fontId="61" fillId="18" borderId="40" xfId="0" applyFont="1" applyFill="1" applyBorder="1"/>
    <xf numFmtId="0" fontId="61" fillId="18" borderId="41" xfId="0" applyFont="1" applyFill="1" applyBorder="1"/>
    <xf numFmtId="0" fontId="61" fillId="29" borderId="37" xfId="0" applyFont="1" applyFill="1" applyBorder="1"/>
    <xf numFmtId="0" fontId="61" fillId="29" borderId="38" xfId="0" applyFont="1" applyFill="1" applyBorder="1"/>
    <xf numFmtId="0" fontId="61" fillId="29" borderId="39" xfId="0" applyFont="1" applyFill="1" applyBorder="1"/>
    <xf numFmtId="0" fontId="61" fillId="26" borderId="46" xfId="0" applyFont="1" applyFill="1" applyBorder="1"/>
    <xf numFmtId="0" fontId="61" fillId="26" borderId="47" xfId="0" applyFont="1" applyFill="1" applyBorder="1"/>
    <xf numFmtId="0" fontId="61" fillId="26" borderId="36" xfId="0" applyFont="1" applyFill="1" applyBorder="1"/>
    <xf numFmtId="0" fontId="61" fillId="26" borderId="37" xfId="0" applyFont="1" applyFill="1" applyBorder="1"/>
    <xf numFmtId="0" fontId="61" fillId="26" borderId="38" xfId="0" applyFont="1" applyFill="1" applyBorder="1"/>
    <xf numFmtId="0" fontId="61" fillId="26" borderId="39" xfId="0" applyFont="1" applyFill="1" applyBorder="1"/>
    <xf numFmtId="0" fontId="61" fillId="28" borderId="0" xfId="0" applyFont="1" applyFill="1"/>
    <xf numFmtId="0" fontId="61" fillId="27" borderId="37" xfId="0" applyFont="1" applyFill="1" applyBorder="1"/>
    <xf numFmtId="0" fontId="61" fillId="27" borderId="38" xfId="0" applyFont="1" applyFill="1" applyBorder="1"/>
    <xf numFmtId="0" fontId="61" fillId="27" borderId="48" xfId="0" applyFont="1" applyFill="1" applyBorder="1"/>
    <xf numFmtId="0" fontId="61" fillId="27" borderId="49" xfId="0" applyFont="1" applyFill="1" applyBorder="1"/>
    <xf numFmtId="0" fontId="61" fillId="26" borderId="40" xfId="0" applyFont="1" applyFill="1" applyBorder="1"/>
    <xf numFmtId="0" fontId="61" fillId="26" borderId="41" xfId="0" applyFont="1" applyFill="1" applyBorder="1"/>
    <xf numFmtId="0" fontId="59" fillId="5" borderId="0" xfId="7" applyAlignment="1">
      <alignment horizontal="left" vertical="center" wrapText="1"/>
    </xf>
    <xf numFmtId="0" fontId="83" fillId="31" borderId="20" xfId="0" applyFont="1" applyFill="1" applyBorder="1" applyAlignment="1">
      <alignment horizontal="left" vertical="center" wrapText="1" readingOrder="1"/>
    </xf>
    <xf numFmtId="0" fontId="0" fillId="13" borderId="3" xfId="0" applyFill="1" applyBorder="1" applyAlignment="1">
      <alignment horizontal="center" vertical="center"/>
    </xf>
    <xf numFmtId="0" fontId="0" fillId="0" borderId="6" xfId="0" applyBorder="1" applyAlignment="1">
      <alignment horizontal="center" vertical="center"/>
    </xf>
    <xf numFmtId="0" fontId="66" fillId="0" borderId="6" xfId="0" applyFont="1" applyBorder="1" applyAlignment="1">
      <alignment vertical="center" wrapText="1"/>
    </xf>
    <xf numFmtId="0" fontId="66" fillId="0" borderId="6" xfId="0" applyFont="1" applyBorder="1" applyAlignment="1">
      <alignment horizontal="center" vertical="center" wrapText="1"/>
    </xf>
    <xf numFmtId="0" fontId="92" fillId="0" borderId="6" xfId="0" applyFont="1" applyBorder="1" applyAlignment="1">
      <alignment horizontal="center" vertical="center"/>
    </xf>
    <xf numFmtId="10" fontId="92" fillId="0" borderId="6" xfId="0" applyNumberFormat="1" applyFont="1" applyBorder="1" applyAlignment="1">
      <alignment horizontal="center" vertical="center"/>
    </xf>
    <xf numFmtId="0" fontId="92" fillId="0" borderId="6" xfId="0" applyFont="1" applyBorder="1" applyAlignment="1">
      <alignment vertical="center" wrapText="1"/>
    </xf>
    <xf numFmtId="0" fontId="0" fillId="0" borderId="7" xfId="0" applyBorder="1" applyAlignment="1">
      <alignment horizontal="center" vertical="center"/>
    </xf>
    <xf numFmtId="0" fontId="66" fillId="0" borderId="7" xfId="0" applyFont="1" applyBorder="1" applyAlignment="1">
      <alignment vertical="center" wrapText="1"/>
    </xf>
    <xf numFmtId="0" fontId="66" fillId="0" borderId="7" xfId="0" applyFont="1" applyBorder="1" applyAlignment="1">
      <alignment horizontal="center" vertical="center" wrapText="1"/>
    </xf>
    <xf numFmtId="0" fontId="0" fillId="0" borderId="7" xfId="0" applyBorder="1" applyAlignment="1">
      <alignment vertical="center"/>
    </xf>
    <xf numFmtId="4" fontId="56" fillId="0" borderId="7" xfId="28" applyNumberFormat="1" applyFont="1" applyFill="1" applyBorder="1" applyAlignment="1">
      <alignment horizontal="center" vertical="center"/>
    </xf>
    <xf numFmtId="0" fontId="0" fillId="0" borderId="7" xfId="0" applyFont="1" applyFill="1" applyBorder="1" applyAlignment="1">
      <alignment vertical="center" wrapText="1"/>
    </xf>
    <xf numFmtId="0" fontId="0" fillId="0" borderId="7" xfId="0" applyBorder="1"/>
    <xf numFmtId="9" fontId="0" fillId="0" borderId="7" xfId="0" applyNumberFormat="1" applyBorder="1" applyAlignment="1">
      <alignment horizontal="center" vertical="center"/>
    </xf>
    <xf numFmtId="0" fontId="0" fillId="0" borderId="7" xfId="0" applyBorder="1" applyAlignment="1">
      <alignment wrapText="1"/>
    </xf>
    <xf numFmtId="9" fontId="0" fillId="0" borderId="7" xfId="0" applyNumberFormat="1" applyFill="1" applyBorder="1" applyAlignment="1">
      <alignment horizontal="center" vertical="center" wrapText="1"/>
    </xf>
    <xf numFmtId="0" fontId="0" fillId="0" borderId="7" xfId="0" applyFill="1" applyBorder="1" applyAlignment="1">
      <alignment vertical="center" wrapText="1"/>
    </xf>
    <xf numFmtId="0" fontId="0" fillId="0" borderId="7" xfId="0" applyBorder="1" applyAlignment="1">
      <alignment horizontal="left" vertical="center" wrapText="1"/>
    </xf>
    <xf numFmtId="0" fontId="0" fillId="0" borderId="7" xfId="0" applyFill="1" applyBorder="1" applyAlignment="1">
      <alignment horizontal="center" vertical="center" wrapText="1"/>
    </xf>
    <xf numFmtId="9" fontId="0" fillId="0" borderId="7" xfId="0" applyNumberFormat="1" applyFill="1" applyBorder="1" applyAlignment="1">
      <alignment horizontal="center" vertical="center"/>
    </xf>
    <xf numFmtId="9" fontId="0" fillId="0" borderId="0" xfId="0" applyNumberFormat="1"/>
    <xf numFmtId="0" fontId="0" fillId="0" borderId="7" xfId="0" applyBorder="1" applyAlignment="1">
      <alignment vertical="center" wrapText="1"/>
    </xf>
    <xf numFmtId="0" fontId="0" fillId="0" borderId="8" xfId="0" applyBorder="1" applyAlignment="1">
      <alignment horizontal="center" vertical="center"/>
    </xf>
    <xf numFmtId="0" fontId="66" fillId="0" borderId="8" xfId="0" applyFont="1" applyBorder="1" applyAlignment="1">
      <alignment vertical="center" wrapText="1"/>
    </xf>
    <xf numFmtId="0" fontId="66" fillId="0" borderId="8" xfId="0" applyFont="1" applyBorder="1" applyAlignment="1">
      <alignment horizontal="center" vertical="center" wrapText="1"/>
    </xf>
    <xf numFmtId="0" fontId="0" fillId="0" borderId="8" xfId="0" applyBorder="1"/>
    <xf numFmtId="0" fontId="0" fillId="0" borderId="8" xfId="0" applyFill="1" applyBorder="1" applyAlignment="1">
      <alignment vertical="center"/>
    </xf>
    <xf numFmtId="0" fontId="0" fillId="0" borderId="8" xfId="0" applyFill="1" applyBorder="1" applyAlignment="1">
      <alignment vertical="center" wrapText="1"/>
    </xf>
    <xf numFmtId="0" fontId="83" fillId="18" borderId="20" xfId="0" applyFont="1" applyFill="1" applyBorder="1" applyAlignment="1">
      <alignment horizontal="left" vertical="justify" wrapText="1"/>
    </xf>
    <xf numFmtId="0" fontId="61" fillId="18" borderId="46" xfId="0" applyFont="1" applyFill="1" applyBorder="1" applyAlignment="1">
      <alignment horizontal="center" vertical="center"/>
    </xf>
    <xf numFmtId="14" fontId="61" fillId="26" borderId="39" xfId="0" applyNumberFormat="1" applyFont="1" applyFill="1" applyBorder="1" applyAlignment="1">
      <alignment horizontal="center" vertical="center"/>
    </xf>
    <xf numFmtId="14" fontId="61" fillId="26" borderId="38" xfId="0" applyNumberFormat="1" applyFont="1" applyFill="1" applyBorder="1"/>
    <xf numFmtId="0" fontId="83" fillId="30" borderId="20" xfId="0" applyFont="1" applyFill="1" applyBorder="1" applyAlignment="1">
      <alignment horizontal="left" vertical="center" wrapText="1" readingOrder="1"/>
    </xf>
    <xf numFmtId="0" fontId="83" fillId="23" borderId="20" xfId="0" applyFont="1" applyFill="1" applyBorder="1" applyAlignment="1">
      <alignment horizontal="left" vertical="center" wrapText="1"/>
    </xf>
    <xf numFmtId="0" fontId="0" fillId="23" borderId="0" xfId="0" applyFill="1"/>
    <xf numFmtId="1" fontId="78" fillId="23" borderId="3" xfId="0" applyNumberFormat="1" applyFont="1" applyFill="1" applyBorder="1" applyAlignment="1">
      <alignment horizontal="center" vertical="center" wrapText="1"/>
    </xf>
    <xf numFmtId="1" fontId="2" fillId="23" borderId="3" xfId="0" applyNumberFormat="1" applyFont="1" applyFill="1" applyBorder="1" applyAlignment="1">
      <alignment horizontal="center" vertical="center" wrapText="1"/>
    </xf>
    <xf numFmtId="1" fontId="2" fillId="23" borderId="3" xfId="0" applyNumberFormat="1" applyFont="1" applyFill="1" applyBorder="1" applyAlignment="1">
      <alignment vertical="center" wrapText="1"/>
    </xf>
    <xf numFmtId="0" fontId="61" fillId="23" borderId="3" xfId="0" applyFont="1" applyFill="1" applyBorder="1" applyAlignment="1">
      <alignment vertical="center" wrapText="1"/>
    </xf>
    <xf numFmtId="0" fontId="83" fillId="23" borderId="0" xfId="0" applyFont="1" applyFill="1" applyBorder="1" applyAlignment="1">
      <alignment horizontal="left" vertical="center" wrapText="1"/>
    </xf>
    <xf numFmtId="0" fontId="61" fillId="23" borderId="0" xfId="0" applyFont="1" applyFill="1" applyBorder="1" applyAlignment="1">
      <alignment horizontal="center" vertical="center" wrapText="1"/>
    </xf>
    <xf numFmtId="0" fontId="61" fillId="23" borderId="37" xfId="0" applyFont="1" applyFill="1" applyBorder="1" applyAlignment="1">
      <alignment horizontal="center" vertical="center"/>
    </xf>
    <xf numFmtId="0" fontId="61" fillId="23" borderId="38" xfId="0" applyFont="1" applyFill="1" applyBorder="1" applyAlignment="1">
      <alignment horizontal="center" vertical="center"/>
    </xf>
    <xf numFmtId="0" fontId="61" fillId="23" borderId="41" xfId="0" applyFont="1" applyFill="1" applyBorder="1" applyAlignment="1">
      <alignment horizontal="center" vertical="center"/>
    </xf>
    <xf numFmtId="0" fontId="0" fillId="28" borderId="0" xfId="0" applyFill="1"/>
    <xf numFmtId="0" fontId="85" fillId="23" borderId="20" xfId="0" applyFont="1" applyFill="1" applyBorder="1" applyAlignment="1">
      <alignment horizontal="left" wrapText="1"/>
    </xf>
    <xf numFmtId="0" fontId="61" fillId="23" borderId="37" xfId="0" applyFont="1" applyFill="1" applyBorder="1" applyAlignment="1">
      <alignment horizontal="center"/>
    </xf>
    <xf numFmtId="0" fontId="61" fillId="23" borderId="38" xfId="0" applyFont="1" applyFill="1" applyBorder="1" applyAlignment="1">
      <alignment horizontal="center"/>
    </xf>
    <xf numFmtId="0" fontId="85" fillId="23" borderId="20" xfId="0" applyFont="1" applyFill="1" applyBorder="1" applyAlignment="1">
      <alignment horizontal="left" vertical="center" wrapText="1"/>
    </xf>
    <xf numFmtId="0" fontId="85" fillId="23" borderId="20" xfId="0" applyFont="1" applyFill="1" applyBorder="1" applyAlignment="1">
      <alignment horizontal="center" vertical="center" wrapText="1"/>
    </xf>
    <xf numFmtId="15" fontId="61" fillId="23" borderId="3" xfId="0" applyNumberFormat="1" applyFont="1" applyFill="1" applyBorder="1" applyAlignment="1">
      <alignment horizontal="center" vertical="center"/>
    </xf>
    <xf numFmtId="0" fontId="85" fillId="23" borderId="35" xfId="0" applyFont="1" applyFill="1" applyBorder="1" applyAlignment="1">
      <alignment horizontal="left" vertical="center" wrapText="1"/>
    </xf>
    <xf numFmtId="15" fontId="61" fillId="23" borderId="9" xfId="0" applyNumberFormat="1" applyFont="1" applyFill="1" applyBorder="1" applyAlignment="1">
      <alignment horizontal="center" vertical="center" wrapText="1"/>
    </xf>
    <xf numFmtId="0" fontId="85" fillId="23" borderId="20" xfId="0" applyFont="1" applyFill="1" applyBorder="1" applyAlignment="1">
      <alignment horizontal="left" vertical="center" wrapText="1" readingOrder="1"/>
    </xf>
    <xf numFmtId="0" fontId="84" fillId="23" borderId="35" xfId="0" applyFont="1" applyFill="1" applyBorder="1" applyAlignment="1">
      <alignment horizontal="left" vertical="center" readingOrder="1"/>
    </xf>
    <xf numFmtId="15" fontId="93" fillId="23" borderId="3" xfId="0" applyNumberFormat="1" applyFont="1" applyFill="1" applyBorder="1" applyAlignment="1">
      <alignment horizontal="center" vertical="center" wrapText="1" readingOrder="1"/>
    </xf>
    <xf numFmtId="0" fontId="94" fillId="23" borderId="3" xfId="0" applyFont="1" applyFill="1" applyBorder="1" applyAlignment="1">
      <alignment horizontal="center" vertical="center" wrapText="1" readingOrder="1"/>
    </xf>
    <xf numFmtId="9" fontId="0" fillId="23" borderId="3" xfId="0" applyNumberFormat="1" applyFill="1" applyBorder="1" applyAlignment="1">
      <alignment horizontal="center" vertical="center" wrapText="1"/>
    </xf>
    <xf numFmtId="0" fontId="95" fillId="23" borderId="3" xfId="0" applyFont="1" applyFill="1" applyBorder="1" applyAlignment="1">
      <alignment horizontal="center" vertical="center" wrapText="1" readingOrder="1"/>
    </xf>
    <xf numFmtId="0" fontId="96" fillId="25" borderId="20" xfId="0" applyFont="1" applyFill="1" applyBorder="1" applyAlignment="1">
      <alignment horizontal="left" vertical="center" wrapText="1" readingOrder="1"/>
    </xf>
    <xf numFmtId="15" fontId="61" fillId="25" borderId="3" xfId="0" applyNumberFormat="1" applyFont="1" applyFill="1" applyBorder="1" applyAlignment="1">
      <alignment horizontal="center" vertical="center" wrapText="1"/>
    </xf>
    <xf numFmtId="0" fontId="61" fillId="25" borderId="37" xfId="0" applyFont="1" applyFill="1" applyBorder="1"/>
    <xf numFmtId="0" fontId="61" fillId="25" borderId="38" xfId="0" applyFont="1" applyFill="1" applyBorder="1"/>
    <xf numFmtId="0" fontId="61" fillId="25" borderId="39" xfId="0" applyFont="1" applyFill="1" applyBorder="1"/>
    <xf numFmtId="0" fontId="97" fillId="25" borderId="20" xfId="0" applyFont="1" applyFill="1" applyBorder="1" applyAlignment="1">
      <alignment horizontal="left" vertical="center" wrapText="1" readingOrder="1"/>
    </xf>
    <xf numFmtId="0" fontId="97" fillId="25" borderId="20" xfId="0" applyFont="1" applyFill="1" applyBorder="1" applyAlignment="1">
      <alignment horizontal="left" vertical="center" readingOrder="1"/>
    </xf>
    <xf numFmtId="0" fontId="96" fillId="25" borderId="20" xfId="0" applyFont="1" applyFill="1" applyBorder="1" applyAlignment="1">
      <alignment horizontal="left" vertical="center" readingOrder="1"/>
    </xf>
    <xf numFmtId="0" fontId="85" fillId="25" borderId="20" xfId="0" applyFont="1" applyFill="1" applyBorder="1" applyAlignment="1">
      <alignment horizontal="left" vertical="center" readingOrder="1"/>
    </xf>
    <xf numFmtId="15" fontId="61" fillId="25" borderId="0" xfId="0" applyNumberFormat="1" applyFont="1" applyFill="1" applyBorder="1" applyAlignment="1">
      <alignment horizontal="center" vertical="center" wrapText="1"/>
    </xf>
    <xf numFmtId="0" fontId="61" fillId="25" borderId="48" xfId="0" applyFont="1" applyFill="1" applyBorder="1"/>
    <xf numFmtId="0" fontId="61" fillId="25" borderId="49" xfId="0" applyFont="1" applyFill="1" applyBorder="1"/>
    <xf numFmtId="0" fontId="61" fillId="25" borderId="50" xfId="0" applyFont="1" applyFill="1" applyBorder="1"/>
    <xf numFmtId="0" fontId="61" fillId="25" borderId="3" xfId="0" applyFont="1" applyFill="1" applyBorder="1" applyAlignment="1">
      <alignment horizontal="center" vertical="center" wrapText="1"/>
    </xf>
    <xf numFmtId="0" fontId="2" fillId="25" borderId="3" xfId="0" applyFont="1" applyFill="1" applyBorder="1" applyAlignment="1">
      <alignment horizontal="center" vertical="center" wrapText="1"/>
    </xf>
    <xf numFmtId="0" fontId="86" fillId="0" borderId="3" xfId="0" applyFont="1" applyFill="1" applyBorder="1" applyAlignment="1">
      <alignment horizontal="center" vertical="center" wrapText="1"/>
    </xf>
    <xf numFmtId="0" fontId="68" fillId="5" borderId="51" xfId="7" applyFont="1" applyBorder="1" applyAlignment="1">
      <alignment horizontal="center" vertical="center"/>
    </xf>
    <xf numFmtId="0" fontId="0" fillId="0" borderId="15" xfId="0" applyBorder="1" applyAlignment="1">
      <alignment wrapText="1"/>
    </xf>
    <xf numFmtId="0" fontId="0" fillId="0" borderId="15" xfId="0" applyBorder="1" applyAlignment="1">
      <alignment horizontal="center"/>
    </xf>
    <xf numFmtId="0" fontId="68" fillId="5" borderId="52" xfId="7" applyFont="1" applyBorder="1" applyAlignment="1">
      <alignment horizontal="center" vertical="center"/>
    </xf>
    <xf numFmtId="0" fontId="86" fillId="0" borderId="26" xfId="0" applyFont="1" applyFill="1" applyBorder="1" applyAlignment="1">
      <alignment horizontal="center" vertical="center" wrapText="1"/>
    </xf>
    <xf numFmtId="0" fontId="0" fillId="0" borderId="26" xfId="0" applyBorder="1"/>
    <xf numFmtId="0" fontId="0" fillId="0" borderId="21" xfId="0" applyBorder="1"/>
    <xf numFmtId="0" fontId="0" fillId="0" borderId="29" xfId="0" applyBorder="1"/>
    <xf numFmtId="0" fontId="68" fillId="5" borderId="51" xfId="7" applyFont="1" applyBorder="1" applyAlignment="1">
      <alignment horizontal="center" vertical="center" wrapText="1"/>
    </xf>
    <xf numFmtId="0" fontId="98" fillId="0" borderId="18" xfId="0" applyFont="1" applyBorder="1" applyAlignment="1">
      <alignment vertical="center" wrapText="1"/>
    </xf>
    <xf numFmtId="0" fontId="44" fillId="0" borderId="18" xfId="0" applyFont="1" applyBorder="1" applyAlignment="1">
      <alignment vertical="center" wrapText="1"/>
    </xf>
    <xf numFmtId="0" fontId="98" fillId="0" borderId="18" xfId="0" applyFont="1" applyFill="1" applyBorder="1" applyAlignment="1">
      <alignment vertical="center" wrapText="1"/>
    </xf>
    <xf numFmtId="0" fontId="98" fillId="0" borderId="27" xfId="0" applyFont="1" applyFill="1" applyBorder="1" applyAlignment="1">
      <alignment vertical="center" wrapText="1"/>
    </xf>
    <xf numFmtId="0" fontId="0" fillId="0" borderId="25" xfId="0" applyBorder="1"/>
    <xf numFmtId="0" fontId="0" fillId="0" borderId="28" xfId="0" applyBorder="1"/>
    <xf numFmtId="0" fontId="0" fillId="0" borderId="25" xfId="0" applyBorder="1" applyAlignment="1">
      <alignment horizontal="center" vertical="center"/>
    </xf>
    <xf numFmtId="0" fontId="86" fillId="0" borderId="26" xfId="0" applyFont="1" applyBorder="1" applyAlignment="1">
      <alignment horizontal="center" vertical="center" wrapText="1"/>
    </xf>
    <xf numFmtId="0" fontId="86" fillId="28" borderId="0" xfId="0" applyFont="1" applyFill="1"/>
    <xf numFmtId="0" fontId="0" fillId="0" borderId="3" xfId="0" applyBorder="1" applyAlignment="1">
      <alignment horizontal="center" vertical="center"/>
    </xf>
    <xf numFmtId="9" fontId="2" fillId="25" borderId="3" xfId="0" applyNumberFormat="1" applyFont="1" applyFill="1" applyBorder="1" applyAlignment="1">
      <alignment horizontal="center" vertical="center" wrapText="1"/>
    </xf>
    <xf numFmtId="1" fontId="2" fillId="25" borderId="3" xfId="0" applyNumberFormat="1" applyFont="1" applyFill="1" applyBorder="1" applyAlignment="1">
      <alignment horizontal="center" vertical="center" wrapText="1"/>
    </xf>
    <xf numFmtId="0" fontId="61" fillId="25" borderId="0" xfId="0" applyFont="1" applyFill="1" applyBorder="1" applyAlignment="1">
      <alignment horizontal="center" vertical="center" wrapText="1"/>
    </xf>
    <xf numFmtId="0" fontId="61" fillId="25" borderId="0" xfId="0" applyFont="1" applyFill="1"/>
    <xf numFmtId="0" fontId="61" fillId="25" borderId="40" xfId="0" applyFont="1" applyFill="1" applyBorder="1"/>
    <xf numFmtId="0" fontId="61" fillId="25" borderId="41" xfId="0" applyFont="1" applyFill="1" applyBorder="1"/>
    <xf numFmtId="0" fontId="61" fillId="25" borderId="42" xfId="0" applyFont="1" applyFill="1" applyBorder="1"/>
    <xf numFmtId="0" fontId="61" fillId="22" borderId="0" xfId="0" applyFont="1" applyFill="1"/>
    <xf numFmtId="0" fontId="61" fillId="22" borderId="44" xfId="0" applyFont="1" applyFill="1" applyBorder="1"/>
    <xf numFmtId="0" fontId="61" fillId="22" borderId="45" xfId="0" applyFont="1" applyFill="1" applyBorder="1"/>
    <xf numFmtId="0" fontId="61" fillId="22" borderId="36" xfId="0" applyFont="1" applyFill="1" applyBorder="1"/>
    <xf numFmtId="0" fontId="61" fillId="22" borderId="37" xfId="0" applyFont="1" applyFill="1" applyBorder="1"/>
    <xf numFmtId="0" fontId="61" fillId="22" borderId="38" xfId="0" applyFont="1" applyFill="1" applyBorder="1"/>
    <xf numFmtId="0" fontId="61" fillId="22" borderId="39" xfId="0" applyFont="1" applyFill="1" applyBorder="1"/>
    <xf numFmtId="0" fontId="61" fillId="22" borderId="40" xfId="0" applyFont="1" applyFill="1" applyBorder="1"/>
    <xf numFmtId="0" fontId="61" fillId="22" borderId="41" xfId="0" applyFont="1" applyFill="1" applyBorder="1"/>
    <xf numFmtId="0" fontId="61" fillId="22" borderId="42" xfId="0" applyFont="1" applyFill="1" applyBorder="1"/>
    <xf numFmtId="0" fontId="61" fillId="22" borderId="0" xfId="0" applyFont="1" applyFill="1" applyBorder="1" applyAlignment="1">
      <alignment horizontal="center" vertical="center" wrapText="1"/>
    </xf>
    <xf numFmtId="0" fontId="61" fillId="22" borderId="46" xfId="0" applyFont="1" applyFill="1" applyBorder="1"/>
    <xf numFmtId="0" fontId="61" fillId="22" borderId="47" xfId="0" applyFont="1" applyFill="1" applyBorder="1"/>
    <xf numFmtId="0" fontId="61" fillId="22" borderId="46" xfId="0" applyFont="1" applyFill="1" applyBorder="1" applyAlignment="1">
      <alignment horizontal="center" vertical="center"/>
    </xf>
    <xf numFmtId="0" fontId="61" fillId="22" borderId="37" xfId="0" applyFont="1" applyFill="1" applyBorder="1" applyAlignment="1">
      <alignment horizontal="center" vertical="center"/>
    </xf>
    <xf numFmtId="0" fontId="61" fillId="22" borderId="38" xfId="0" applyFont="1" applyFill="1" applyBorder="1" applyAlignment="1">
      <alignment horizontal="center" vertical="center"/>
    </xf>
    <xf numFmtId="0" fontId="61" fillId="22" borderId="41" xfId="0" applyFont="1" applyFill="1" applyBorder="1" applyAlignment="1">
      <alignment horizontal="center" vertical="center"/>
    </xf>
    <xf numFmtId="15" fontId="61" fillId="22" borderId="20" xfId="0" applyNumberFormat="1" applyFont="1" applyFill="1" applyBorder="1" applyAlignment="1">
      <alignment horizontal="center" vertical="center" wrapText="1"/>
    </xf>
    <xf numFmtId="0" fontId="61" fillId="22" borderId="3" xfId="0" applyFont="1" applyFill="1" applyBorder="1"/>
    <xf numFmtId="0" fontId="61" fillId="22" borderId="3" xfId="0" applyFont="1" applyFill="1" applyBorder="1" applyAlignment="1">
      <alignment vertical="center"/>
    </xf>
    <xf numFmtId="0" fontId="61" fillId="22" borderId="53" xfId="0" applyFont="1" applyFill="1" applyBorder="1"/>
    <xf numFmtId="0" fontId="61" fillId="22" borderId="54" xfId="0" applyFont="1" applyFill="1" applyBorder="1"/>
    <xf numFmtId="0" fontId="61" fillId="22" borderId="54" xfId="0" applyFont="1" applyFill="1" applyBorder="1" applyAlignment="1">
      <alignment horizontal="center" vertical="center"/>
    </xf>
    <xf numFmtId="0" fontId="61" fillId="22" borderId="55" xfId="0" applyFont="1" applyFill="1" applyBorder="1" applyAlignment="1">
      <alignment horizontal="center" vertical="center"/>
    </xf>
    <xf numFmtId="1" fontId="2" fillId="23" borderId="0" xfId="0" applyNumberFormat="1" applyFont="1" applyFill="1" applyBorder="1" applyAlignment="1">
      <alignment horizontal="center" vertical="center" wrapText="1"/>
    </xf>
    <xf numFmtId="0" fontId="61" fillId="22" borderId="56" xfId="0" applyFont="1" applyFill="1" applyBorder="1"/>
    <xf numFmtId="0" fontId="61" fillId="19" borderId="46" xfId="0" applyFont="1" applyFill="1" applyBorder="1"/>
    <xf numFmtId="0" fontId="61" fillId="19" borderId="37" xfId="0" applyFont="1" applyFill="1" applyBorder="1"/>
    <xf numFmtId="0" fontId="61" fillId="19" borderId="40" xfId="0" applyFont="1" applyFill="1" applyBorder="1"/>
    <xf numFmtId="0" fontId="61" fillId="32" borderId="21" xfId="0" applyFont="1" applyFill="1" applyBorder="1" applyAlignment="1">
      <alignment horizontal="center" vertical="center" wrapText="1"/>
    </xf>
    <xf numFmtId="0" fontId="61" fillId="19" borderId="57" xfId="0" applyFont="1" applyFill="1" applyBorder="1"/>
    <xf numFmtId="0" fontId="61" fillId="28" borderId="58" xfId="0" applyFont="1" applyFill="1" applyBorder="1"/>
    <xf numFmtId="0" fontId="61" fillId="19" borderId="48" xfId="0" applyFont="1" applyFill="1" applyBorder="1"/>
    <xf numFmtId="0" fontId="61" fillId="28" borderId="49" xfId="0" applyFont="1" applyFill="1" applyBorder="1"/>
    <xf numFmtId="0" fontId="61" fillId="28" borderId="59" xfId="0" applyFont="1" applyFill="1" applyBorder="1"/>
    <xf numFmtId="14" fontId="61" fillId="28" borderId="39" xfId="0" applyNumberFormat="1" applyFont="1" applyFill="1" applyBorder="1" applyAlignment="1">
      <alignment horizontal="center" vertical="center"/>
    </xf>
    <xf numFmtId="14" fontId="61" fillId="28" borderId="38" xfId="0" applyNumberFormat="1" applyFont="1" applyFill="1" applyBorder="1"/>
    <xf numFmtId="0" fontId="61" fillId="22" borderId="48" xfId="0" applyFont="1" applyFill="1" applyBorder="1" applyAlignment="1">
      <alignment horizontal="center" vertical="center"/>
    </xf>
    <xf numFmtId="0" fontId="61" fillId="22" borderId="9" xfId="0" applyFont="1" applyFill="1" applyBorder="1"/>
    <xf numFmtId="0" fontId="61" fillId="22" borderId="3" xfId="0" applyFont="1" applyFill="1" applyBorder="1" applyAlignment="1">
      <alignment vertical="center" wrapText="1"/>
    </xf>
    <xf numFmtId="0" fontId="99" fillId="0" borderId="0" xfId="0" applyFont="1" applyBorder="1"/>
    <xf numFmtId="0" fontId="100" fillId="5" borderId="0" xfId="7" applyFont="1" applyAlignment="1">
      <alignment horizontal="left" vertical="center" wrapText="1"/>
    </xf>
    <xf numFmtId="0" fontId="101" fillId="0" borderId="0" xfId="0" applyFont="1" applyAlignment="1">
      <alignment horizontal="center" vertical="center" wrapText="1"/>
    </xf>
    <xf numFmtId="0" fontId="99" fillId="0" borderId="0" xfId="0" applyFont="1"/>
    <xf numFmtId="0" fontId="4" fillId="0" borderId="0" xfId="0" applyFont="1" applyBorder="1" applyAlignment="1">
      <alignment horizontal="left" vertical="center"/>
    </xf>
    <xf numFmtId="0" fontId="102" fillId="8" borderId="3" xfId="6" applyFont="1" applyBorder="1" applyAlignment="1">
      <alignment horizontal="center" vertical="center" wrapText="1"/>
    </xf>
    <xf numFmtId="0" fontId="102" fillId="8" borderId="3" xfId="6" applyFont="1" applyBorder="1" applyAlignment="1">
      <alignment horizontal="center" vertical="center"/>
    </xf>
    <xf numFmtId="0" fontId="102" fillId="8" borderId="20" xfId="6" applyFont="1" applyBorder="1" applyAlignment="1">
      <alignment horizontal="center" vertical="center"/>
    </xf>
    <xf numFmtId="0" fontId="61" fillId="0" borderId="3" xfId="0" applyFont="1" applyBorder="1" applyAlignment="1">
      <alignment horizontal="center"/>
    </xf>
    <xf numFmtId="0" fontId="99" fillId="0" borderId="3" xfId="0" applyFont="1" applyBorder="1"/>
    <xf numFmtId="0" fontId="99" fillId="0" borderId="0" xfId="0" applyFont="1" applyAlignment="1">
      <alignment horizontal="left"/>
    </xf>
    <xf numFmtId="0" fontId="61" fillId="0" borderId="0" xfId="0" applyFont="1" applyAlignment="1">
      <alignment horizontal="center"/>
    </xf>
    <xf numFmtId="0" fontId="61" fillId="23" borderId="0" xfId="0" applyFont="1" applyFill="1"/>
    <xf numFmtId="0" fontId="61" fillId="22" borderId="3" xfId="0" applyFont="1" applyFill="1" applyBorder="1" applyAlignment="1">
      <alignment horizontal="left" vertical="center" wrapText="1"/>
    </xf>
    <xf numFmtId="0" fontId="78" fillId="0" borderId="0" xfId="0" applyFont="1"/>
    <xf numFmtId="0" fontId="61" fillId="22" borderId="0" xfId="0" applyFont="1" applyFill="1" applyBorder="1" applyAlignment="1">
      <alignment horizontal="center" vertical="center"/>
    </xf>
    <xf numFmtId="0" fontId="61" fillId="0" borderId="3" xfId="0" applyFont="1" applyBorder="1"/>
    <xf numFmtId="0" fontId="61" fillId="0" borderId="43" xfId="0" applyFont="1" applyBorder="1"/>
    <xf numFmtId="0" fontId="103" fillId="0" borderId="0" xfId="0" applyFont="1" applyBorder="1"/>
    <xf numFmtId="0" fontId="103" fillId="0" borderId="0" xfId="0" applyFont="1"/>
    <xf numFmtId="0" fontId="2" fillId="22" borderId="60" xfId="0" applyFont="1" applyFill="1" applyBorder="1" applyAlignment="1">
      <alignment horizontal="center" vertical="center" wrapText="1"/>
    </xf>
    <xf numFmtId="0" fontId="61" fillId="0" borderId="3" xfId="0" applyFont="1" applyFill="1" applyBorder="1" applyAlignment="1">
      <alignment horizontal="left" vertical="center" wrapText="1" readingOrder="1"/>
    </xf>
    <xf numFmtId="0" fontId="61" fillId="22" borderId="60" xfId="0" applyFont="1" applyFill="1" applyBorder="1" applyAlignment="1">
      <alignment horizontal="center" vertical="center" wrapText="1"/>
    </xf>
    <xf numFmtId="0" fontId="61" fillId="22" borderId="61" xfId="0" applyFont="1" applyFill="1" applyBorder="1" applyAlignment="1">
      <alignment horizontal="center" vertical="center"/>
    </xf>
    <xf numFmtId="0" fontId="2" fillId="22" borderId="3" xfId="0" applyFont="1" applyFill="1" applyBorder="1" applyAlignment="1">
      <alignment horizontal="center" vertical="center"/>
    </xf>
    <xf numFmtId="14" fontId="61" fillId="22" borderId="20" xfId="0" applyNumberFormat="1" applyFont="1" applyFill="1" applyBorder="1" applyAlignment="1">
      <alignment horizontal="center" vertical="center" wrapText="1"/>
    </xf>
    <xf numFmtId="0" fontId="61" fillId="22" borderId="20" xfId="0" applyFont="1" applyFill="1" applyBorder="1" applyAlignment="1">
      <alignment horizontal="center" vertical="center" wrapText="1"/>
    </xf>
    <xf numFmtId="14" fontId="61" fillId="22" borderId="35" xfId="0" applyNumberFormat="1" applyFont="1" applyFill="1" applyBorder="1" applyAlignment="1">
      <alignment horizontal="center" vertical="center" wrapText="1"/>
    </xf>
    <xf numFmtId="0" fontId="2" fillId="22" borderId="35" xfId="0" applyFont="1" applyFill="1" applyBorder="1" applyAlignment="1">
      <alignment horizontal="center" vertical="center" wrapText="1"/>
    </xf>
    <xf numFmtId="0" fontId="61" fillId="22" borderId="35" xfId="0" applyFont="1" applyFill="1" applyBorder="1" applyAlignment="1">
      <alignment horizontal="center" vertical="center" wrapText="1"/>
    </xf>
    <xf numFmtId="0" fontId="61" fillId="22" borderId="16" xfId="0" applyFont="1" applyFill="1" applyBorder="1" applyAlignment="1">
      <alignment horizontal="center" vertical="center" wrapText="1"/>
    </xf>
    <xf numFmtId="0" fontId="61" fillId="22" borderId="19" xfId="0" applyFont="1" applyFill="1" applyBorder="1" applyAlignment="1">
      <alignment horizontal="center" vertical="center" wrapText="1"/>
    </xf>
    <xf numFmtId="15" fontId="61" fillId="33" borderId="20" xfId="0" applyNumberFormat="1" applyFont="1" applyFill="1" applyBorder="1" applyAlignment="1">
      <alignment horizontal="center" vertical="center" wrapText="1"/>
    </xf>
    <xf numFmtId="15" fontId="61" fillId="33" borderId="62" xfId="0" applyNumberFormat="1" applyFont="1" applyFill="1" applyBorder="1" applyAlignment="1">
      <alignment horizontal="center" vertical="center" wrapText="1"/>
    </xf>
    <xf numFmtId="15" fontId="61" fillId="27" borderId="63" xfId="0" applyNumberFormat="1" applyFont="1" applyFill="1" applyBorder="1" applyAlignment="1">
      <alignment horizontal="center" vertical="center" wrapText="1"/>
    </xf>
    <xf numFmtId="15" fontId="61" fillId="27" borderId="20" xfId="0" applyNumberFormat="1" applyFont="1" applyFill="1" applyBorder="1" applyAlignment="1">
      <alignment horizontal="center" vertical="center" wrapText="1"/>
    </xf>
    <xf numFmtId="15" fontId="61" fillId="27" borderId="62" xfId="0" applyNumberFormat="1" applyFont="1" applyFill="1" applyBorder="1" applyAlignment="1">
      <alignment horizontal="center" vertical="center" wrapText="1"/>
    </xf>
    <xf numFmtId="15" fontId="61" fillId="32" borderId="63" xfId="0" applyNumberFormat="1" applyFont="1" applyFill="1" applyBorder="1" applyAlignment="1">
      <alignment horizontal="center" vertical="center" wrapText="1"/>
    </xf>
    <xf numFmtId="15" fontId="61" fillId="32" borderId="20" xfId="0" applyNumberFormat="1" applyFont="1" applyFill="1" applyBorder="1" applyAlignment="1">
      <alignment horizontal="center" vertical="center" wrapText="1"/>
    </xf>
    <xf numFmtId="15" fontId="61" fillId="32" borderId="62" xfId="0" applyNumberFormat="1" applyFont="1" applyFill="1" applyBorder="1" applyAlignment="1">
      <alignment horizontal="center" vertical="center" wrapText="1"/>
    </xf>
    <xf numFmtId="15" fontId="61" fillId="27" borderId="19" xfId="0" applyNumberFormat="1" applyFont="1" applyFill="1" applyBorder="1" applyAlignment="1">
      <alignment horizontal="center" vertical="center" wrapText="1"/>
    </xf>
    <xf numFmtId="15" fontId="61" fillId="27" borderId="20" xfId="0" applyNumberFormat="1" applyFont="1" applyFill="1" applyBorder="1" applyAlignment="1">
      <alignment horizontal="center" vertical="center"/>
    </xf>
    <xf numFmtId="0" fontId="61" fillId="27" borderId="20" xfId="0" applyFont="1" applyFill="1" applyBorder="1" applyAlignment="1">
      <alignment horizontal="center" vertical="center" wrapText="1"/>
    </xf>
    <xf numFmtId="15" fontId="61" fillId="26" borderId="20" xfId="0" applyNumberFormat="1" applyFont="1" applyFill="1" applyBorder="1" applyAlignment="1">
      <alignment horizontal="center" vertical="center"/>
    </xf>
    <xf numFmtId="15" fontId="61" fillId="26" borderId="64" xfId="0" applyNumberFormat="1" applyFont="1" applyFill="1" applyBorder="1" applyAlignment="1">
      <alignment horizontal="center" vertical="center"/>
    </xf>
    <xf numFmtId="15" fontId="61" fillId="22" borderId="20" xfId="0" applyNumberFormat="1" applyFont="1" applyFill="1" applyBorder="1" applyAlignment="1">
      <alignment horizontal="center" vertical="center"/>
    </xf>
    <xf numFmtId="15" fontId="61" fillId="22" borderId="35" xfId="0" applyNumberFormat="1" applyFont="1" applyFill="1" applyBorder="1" applyAlignment="1">
      <alignment horizontal="center" vertical="center" wrapText="1"/>
    </xf>
    <xf numFmtId="15" fontId="104" fillId="22" borderId="20" xfId="0" applyNumberFormat="1" applyFont="1" applyFill="1" applyBorder="1" applyAlignment="1">
      <alignment horizontal="center" vertical="center" wrapText="1" readingOrder="1"/>
    </xf>
    <xf numFmtId="0" fontId="61" fillId="22" borderId="3" xfId="0" applyFont="1" applyFill="1" applyBorder="1" applyAlignment="1">
      <alignment horizontal="left" vertical="center" wrapText="1" readingOrder="1"/>
    </xf>
    <xf numFmtId="0" fontId="2" fillId="0" borderId="3" xfId="0" applyFont="1" applyFill="1" applyBorder="1" applyAlignment="1">
      <alignment horizontal="left" vertical="center" wrapText="1"/>
    </xf>
    <xf numFmtId="0" fontId="61" fillId="0" borderId="3" xfId="0" applyFont="1" applyFill="1" applyBorder="1" applyAlignment="1">
      <alignment horizontal="left" vertical="center" wrapText="1"/>
    </xf>
    <xf numFmtId="0" fontId="105" fillId="0" borderId="3" xfId="0" applyFont="1" applyFill="1" applyBorder="1" applyAlignment="1">
      <alignment horizontal="left" vertical="center" wrapText="1" readingOrder="1"/>
    </xf>
    <xf numFmtId="0" fontId="105" fillId="0" borderId="3" xfId="0" applyFont="1" applyFill="1" applyBorder="1" applyAlignment="1">
      <alignment horizontal="left" vertical="top" wrapText="1" readingOrder="1"/>
    </xf>
    <xf numFmtId="0" fontId="61" fillId="22" borderId="3" xfId="0" applyFont="1" applyFill="1" applyBorder="1" applyAlignment="1">
      <alignment horizontal="left" vertical="top" wrapText="1"/>
    </xf>
    <xf numFmtId="0" fontId="105" fillId="22" borderId="3" xfId="0" applyFont="1" applyFill="1" applyBorder="1" applyAlignment="1">
      <alignment horizontal="left" vertical="center" readingOrder="1"/>
    </xf>
    <xf numFmtId="0" fontId="2" fillId="22" borderId="3" xfId="0" applyFont="1" applyFill="1" applyBorder="1" applyAlignment="1">
      <alignment vertical="center" wrapText="1"/>
    </xf>
    <xf numFmtId="0" fontId="105" fillId="22" borderId="3" xfId="0" applyFont="1" applyFill="1" applyBorder="1" applyAlignment="1">
      <alignment horizontal="left" vertical="center" wrapText="1" readingOrder="1"/>
    </xf>
    <xf numFmtId="0" fontId="2" fillId="22" borderId="3" xfId="0" applyFont="1" applyFill="1" applyBorder="1" applyAlignment="1">
      <alignment horizontal="left" vertical="center" wrapText="1" readingOrder="1"/>
    </xf>
    <xf numFmtId="0" fontId="104" fillId="22" borderId="3" xfId="0" applyFont="1" applyFill="1" applyBorder="1" applyAlignment="1">
      <alignment horizontal="left" vertical="center" wrapText="1"/>
    </xf>
    <xf numFmtId="0" fontId="2" fillId="22" borderId="3" xfId="0" applyFont="1" applyFill="1" applyBorder="1" applyAlignment="1">
      <alignment horizontal="left" vertical="center" wrapText="1"/>
    </xf>
    <xf numFmtId="0" fontId="104" fillId="22" borderId="3" xfId="0" applyFont="1" applyFill="1" applyBorder="1" applyAlignment="1">
      <alignment horizontal="left" vertical="center" wrapText="1" readingOrder="1"/>
    </xf>
    <xf numFmtId="0" fontId="61" fillId="0" borderId="3" xfId="0" applyFont="1" applyBorder="1" applyAlignment="1">
      <alignment horizontal="left"/>
    </xf>
    <xf numFmtId="0" fontId="99" fillId="0" borderId="3" xfId="0" applyFont="1" applyBorder="1" applyAlignment="1">
      <alignment horizontal="left"/>
    </xf>
    <xf numFmtId="0" fontId="61" fillId="0" borderId="3" xfId="0" applyFont="1" applyBorder="1" applyAlignment="1">
      <alignment horizontal="center" vertical="center"/>
    </xf>
    <xf numFmtId="0" fontId="99" fillId="0" borderId="3" xfId="0" applyFont="1" applyBorder="1" applyAlignment="1">
      <alignment horizontal="center" vertical="center"/>
    </xf>
    <xf numFmtId="0" fontId="99" fillId="0" borderId="0" xfId="0" applyFont="1" applyAlignment="1">
      <alignment horizontal="center" vertical="center"/>
    </xf>
    <xf numFmtId="0" fontId="2" fillId="0" borderId="0" xfId="0" applyFont="1" applyBorder="1" applyAlignment="1">
      <alignment horizontal="center" vertical="center"/>
    </xf>
    <xf numFmtId="0" fontId="106" fillId="8" borderId="3" xfId="6" applyFont="1" applyBorder="1" applyAlignment="1">
      <alignment horizontal="center" vertical="center"/>
    </xf>
    <xf numFmtId="0" fontId="2" fillId="8" borderId="20" xfId="6" applyFont="1" applyBorder="1" applyAlignment="1">
      <alignment horizontal="center" vertical="center"/>
    </xf>
    <xf numFmtId="0" fontId="2" fillId="8" borderId="0" xfId="6" applyFont="1" applyBorder="1" applyAlignment="1">
      <alignment horizontal="center" vertical="center"/>
    </xf>
    <xf numFmtId="0" fontId="2" fillId="8" borderId="10" xfId="6" applyFont="1" applyBorder="1" applyAlignment="1">
      <alignment horizontal="center" vertical="center" wrapText="1"/>
    </xf>
    <xf numFmtId="0" fontId="2" fillId="8" borderId="0" xfId="6" applyFont="1" applyBorder="1" applyAlignment="1">
      <alignment horizontal="center" vertical="center" wrapText="1"/>
    </xf>
    <xf numFmtId="0" fontId="2" fillId="0" borderId="0" xfId="0" applyFont="1"/>
    <xf numFmtId="0" fontId="2" fillId="22" borderId="3" xfId="6" applyFont="1" applyFill="1" applyBorder="1" applyAlignment="1">
      <alignment horizontal="left" vertical="center" wrapText="1"/>
    </xf>
    <xf numFmtId="0" fontId="61" fillId="22" borderId="3" xfId="0" applyFont="1" applyFill="1" applyBorder="1" applyAlignment="1">
      <alignment horizontal="center" vertical="center" wrapText="1"/>
    </xf>
    <xf numFmtId="0" fontId="2" fillId="22" borderId="3" xfId="0" applyFont="1" applyFill="1" applyBorder="1" applyAlignment="1">
      <alignment horizontal="center" vertical="center" wrapText="1"/>
    </xf>
    <xf numFmtId="9" fontId="61" fillId="22" borderId="3" xfId="0" applyNumberFormat="1" applyFont="1" applyFill="1" applyBorder="1" applyAlignment="1">
      <alignment horizontal="center" vertical="center" wrapText="1"/>
    </xf>
    <xf numFmtId="0" fontId="61" fillId="27" borderId="11" xfId="0" applyFont="1" applyFill="1" applyBorder="1" applyAlignment="1">
      <alignment horizontal="center" vertical="center" wrapText="1"/>
    </xf>
    <xf numFmtId="9" fontId="2" fillId="22" borderId="3" xfId="0" applyNumberFormat="1" applyFont="1" applyFill="1" applyBorder="1" applyAlignment="1">
      <alignment horizontal="center" vertical="center" wrapText="1"/>
    </xf>
    <xf numFmtId="1" fontId="2" fillId="22" borderId="3" xfId="0" applyNumberFormat="1" applyFont="1" applyFill="1" applyBorder="1" applyAlignment="1">
      <alignment horizontal="center" vertical="center" wrapText="1"/>
    </xf>
    <xf numFmtId="9" fontId="61" fillId="22" borderId="3" xfId="0" applyNumberFormat="1" applyFont="1" applyFill="1" applyBorder="1" applyAlignment="1">
      <alignment horizontal="center" vertical="center"/>
    </xf>
    <xf numFmtId="0" fontId="61" fillId="25" borderId="3" xfId="0" applyFont="1" applyFill="1" applyBorder="1" applyAlignment="1">
      <alignment horizontal="center" vertical="center" wrapText="1"/>
    </xf>
    <xf numFmtId="0" fontId="2" fillId="25" borderId="3" xfId="0" applyFont="1" applyFill="1" applyBorder="1" applyAlignment="1">
      <alignment horizontal="center" vertical="center" wrapText="1"/>
    </xf>
    <xf numFmtId="0" fontId="62" fillId="8" borderId="35" xfId="6" applyFont="1" applyBorder="1" applyAlignment="1">
      <alignment horizontal="center" vertical="center" wrapText="1"/>
    </xf>
    <xf numFmtId="0" fontId="61" fillId="22" borderId="99" xfId="0" applyFont="1" applyFill="1" applyBorder="1" applyAlignment="1">
      <alignment horizontal="center" vertical="center"/>
    </xf>
    <xf numFmtId="0" fontId="61" fillId="22" borderId="99" xfId="0" applyFont="1" applyFill="1" applyBorder="1"/>
    <xf numFmtId="0" fontId="61" fillId="22" borderId="100" xfId="0" applyFont="1" applyFill="1" applyBorder="1" applyAlignment="1">
      <alignment horizontal="center" vertical="center"/>
    </xf>
    <xf numFmtId="0" fontId="61" fillId="22" borderId="100" xfId="0" applyFont="1" applyFill="1" applyBorder="1"/>
    <xf numFmtId="0" fontId="61" fillId="22" borderId="101" xfId="0" applyFont="1" applyFill="1" applyBorder="1"/>
    <xf numFmtId="0" fontId="61" fillId="22" borderId="101" xfId="0" applyFont="1" applyFill="1" applyBorder="1" applyAlignment="1">
      <alignment horizontal="center" vertical="center"/>
    </xf>
    <xf numFmtId="0" fontId="61" fillId="22" borderId="102" xfId="0" applyFont="1" applyFill="1" applyBorder="1" applyAlignment="1">
      <alignment horizontal="center" vertical="center"/>
    </xf>
    <xf numFmtId="0" fontId="107" fillId="8" borderId="22" xfId="6" applyFont="1" applyBorder="1" applyAlignment="1">
      <alignment horizontal="center" vertical="center"/>
    </xf>
    <xf numFmtId="0" fontId="107" fillId="8" borderId="0" xfId="6" applyFont="1" applyBorder="1" applyAlignment="1">
      <alignment horizontal="center" vertical="center" wrapText="1"/>
    </xf>
    <xf numFmtId="0" fontId="107" fillId="8" borderId="16" xfId="6" applyFont="1" applyBorder="1" applyAlignment="1">
      <alignment horizontal="center" vertical="center" wrapText="1"/>
    </xf>
    <xf numFmtId="0" fontId="107" fillId="8" borderId="13" xfId="6" applyFont="1" applyBorder="1" applyAlignment="1">
      <alignment horizontal="center" vertical="center"/>
    </xf>
    <xf numFmtId="0" fontId="107" fillId="8" borderId="14" xfId="6" applyFont="1" applyBorder="1" applyAlignment="1">
      <alignment horizontal="center" vertical="center"/>
    </xf>
    <xf numFmtId="0" fontId="62" fillId="8" borderId="9" xfId="6" applyFont="1" applyBorder="1" applyAlignment="1">
      <alignment horizontal="center" vertical="center" wrapText="1"/>
    </xf>
    <xf numFmtId="0" fontId="61" fillId="0" borderId="15" xfId="0" applyFont="1" applyBorder="1"/>
    <xf numFmtId="0" fontId="61" fillId="0" borderId="64" xfId="0" applyFont="1" applyBorder="1"/>
    <xf numFmtId="0" fontId="61" fillId="0" borderId="103" xfId="0" applyFont="1" applyBorder="1"/>
    <xf numFmtId="0" fontId="61" fillId="0" borderId="104" xfId="0" applyFont="1" applyBorder="1"/>
    <xf numFmtId="0" fontId="99" fillId="0" borderId="15" xfId="0" applyFont="1" applyBorder="1"/>
    <xf numFmtId="0" fontId="99" fillId="0" borderId="64" xfId="0" applyFont="1" applyBorder="1"/>
    <xf numFmtId="0" fontId="99" fillId="0" borderId="103" xfId="0" applyFont="1" applyBorder="1"/>
    <xf numFmtId="0" fontId="99" fillId="0" borderId="104" xfId="0" applyFont="1" applyBorder="1"/>
    <xf numFmtId="0" fontId="102" fillId="8" borderId="10" xfId="6" applyFont="1" applyBorder="1" applyAlignment="1">
      <alignment horizontal="center" vertical="center"/>
    </xf>
    <xf numFmtId="0" fontId="61" fillId="22" borderId="105" xfId="0" applyFont="1" applyFill="1" applyBorder="1" applyAlignment="1">
      <alignment horizontal="center" vertical="center"/>
    </xf>
    <xf numFmtId="0" fontId="61" fillId="22" borderId="106" xfId="0" applyFont="1" applyFill="1" applyBorder="1" applyAlignment="1">
      <alignment horizontal="center" vertical="center"/>
    </xf>
    <xf numFmtId="0" fontId="61" fillId="22" borderId="106" xfId="0" applyFont="1" applyFill="1" applyBorder="1"/>
    <xf numFmtId="0" fontId="61" fillId="22" borderId="107" xfId="0" applyFont="1" applyFill="1" applyBorder="1"/>
    <xf numFmtId="0" fontId="61" fillId="0" borderId="108" xfId="0" applyFont="1" applyBorder="1"/>
    <xf numFmtId="0" fontId="99" fillId="0" borderId="108" xfId="0" applyFont="1" applyBorder="1"/>
    <xf numFmtId="0" fontId="61" fillId="22" borderId="104" xfId="0" applyFont="1" applyFill="1" applyBorder="1" applyAlignment="1">
      <alignment horizontal="center" vertical="center"/>
    </xf>
    <xf numFmtId="10" fontId="56" fillId="34" borderId="0" xfId="28" applyNumberFormat="1" applyFont="1" applyFill="1" applyAlignment="1">
      <alignment horizontal="center"/>
    </xf>
    <xf numFmtId="0" fontId="61" fillId="0" borderId="3" xfId="0" applyFont="1" applyBorder="1" applyAlignment="1">
      <alignment vertical="center" wrapText="1"/>
    </xf>
    <xf numFmtId="0" fontId="99" fillId="13" borderId="0" xfId="0" applyFont="1" applyFill="1"/>
    <xf numFmtId="166" fontId="108" fillId="13" borderId="0" xfId="28" applyNumberFormat="1" applyFont="1" applyFill="1" applyAlignment="1">
      <alignment horizontal="center"/>
    </xf>
    <xf numFmtId="0" fontId="61" fillId="0" borderId="3" xfId="0" applyFont="1" applyBorder="1" applyAlignment="1">
      <alignment horizontal="center" wrapText="1"/>
    </xf>
    <xf numFmtId="10" fontId="86" fillId="0" borderId="0" xfId="0" applyNumberFormat="1" applyFont="1"/>
    <xf numFmtId="0" fontId="61" fillId="0" borderId="0" xfId="0" applyFont="1" applyAlignment="1">
      <alignment wrapText="1"/>
    </xf>
    <xf numFmtId="10" fontId="107" fillId="8" borderId="14" xfId="6" applyNumberFormat="1" applyFont="1" applyBorder="1" applyAlignment="1">
      <alignment horizontal="center" vertical="center"/>
    </xf>
    <xf numFmtId="0" fontId="0" fillId="0" borderId="0" xfId="0"/>
    <xf numFmtId="0" fontId="108" fillId="13" borderId="0" xfId="0" applyFont="1" applyFill="1"/>
    <xf numFmtId="0" fontId="86" fillId="13" borderId="0" xfId="0" applyFont="1" applyFill="1"/>
    <xf numFmtId="0" fontId="86" fillId="13" borderId="0" xfId="0" applyFont="1" applyFill="1" applyAlignment="1">
      <alignment vertical="center"/>
    </xf>
    <xf numFmtId="10" fontId="86" fillId="13" borderId="0" xfId="0" applyNumberFormat="1" applyFont="1" applyFill="1"/>
    <xf numFmtId="0" fontId="109" fillId="0" borderId="0" xfId="0" applyFont="1"/>
    <xf numFmtId="0" fontId="108" fillId="13" borderId="0" xfId="0" applyFont="1" applyFill="1" applyAlignment="1">
      <alignment horizontal="center"/>
    </xf>
    <xf numFmtId="166" fontId="99" fillId="13" borderId="0" xfId="28" applyNumberFormat="1" applyFont="1" applyFill="1"/>
    <xf numFmtId="9" fontId="108" fillId="13" borderId="0" xfId="0" applyNumberFormat="1" applyFont="1" applyFill="1" applyAlignment="1">
      <alignment horizontal="center"/>
    </xf>
    <xf numFmtId="0" fontId="110" fillId="8" borderId="3" xfId="6" applyFont="1" applyBorder="1" applyAlignment="1">
      <alignment horizontal="center" vertical="center" wrapText="1"/>
    </xf>
    <xf numFmtId="0" fontId="110" fillId="8" borderId="35" xfId="6" applyFont="1" applyBorder="1" applyAlignment="1">
      <alignment horizontal="center" vertical="center" wrapText="1"/>
    </xf>
    <xf numFmtId="9" fontId="61" fillId="0" borderId="3" xfId="28" applyFont="1" applyBorder="1" applyAlignment="1">
      <alignment horizontal="center" vertical="center"/>
    </xf>
    <xf numFmtId="0" fontId="110" fillId="8" borderId="3" xfId="6" applyFont="1" applyBorder="1" applyAlignment="1">
      <alignment horizontal="center" vertical="center"/>
    </xf>
    <xf numFmtId="0" fontId="111" fillId="8" borderId="3" xfId="6" applyFont="1" applyBorder="1" applyAlignment="1">
      <alignment horizontal="center" vertical="center"/>
    </xf>
    <xf numFmtId="0" fontId="0" fillId="0" borderId="0" xfId="0" applyFont="1" applyBorder="1"/>
    <xf numFmtId="0" fontId="112" fillId="23" borderId="3" xfId="0" applyFont="1" applyFill="1" applyBorder="1" applyAlignment="1">
      <alignment horizontal="center" vertical="center" wrapText="1"/>
    </xf>
    <xf numFmtId="0" fontId="112" fillId="22" borderId="3" xfId="0" applyFont="1" applyFill="1" applyBorder="1" applyAlignment="1">
      <alignment horizontal="center" vertical="center" wrapText="1"/>
    </xf>
    <xf numFmtId="0" fontId="0" fillId="22" borderId="3" xfId="0" applyFont="1" applyFill="1" applyBorder="1" applyAlignment="1">
      <alignment horizontal="center" vertical="center" wrapText="1"/>
    </xf>
    <xf numFmtId="0" fontId="0" fillId="22" borderId="15" xfId="0" applyFont="1" applyFill="1" applyBorder="1" applyAlignment="1">
      <alignment horizontal="left" vertical="center" wrapText="1"/>
    </xf>
    <xf numFmtId="0" fontId="0" fillId="22" borderId="3" xfId="0" applyFont="1" applyFill="1" applyBorder="1" applyAlignment="1">
      <alignment horizontal="left" vertical="center" wrapText="1"/>
    </xf>
    <xf numFmtId="0" fontId="0" fillId="0" borderId="3" xfId="0" applyFont="1" applyBorder="1" applyAlignment="1">
      <alignment horizontal="left" vertical="center" wrapText="1"/>
    </xf>
    <xf numFmtId="0" fontId="0" fillId="0" borderId="0" xfId="0" applyFont="1"/>
    <xf numFmtId="1" fontId="112" fillId="22" borderId="3" xfId="0" applyNumberFormat="1" applyFont="1" applyFill="1" applyBorder="1" applyAlignment="1">
      <alignment horizontal="center" vertical="center" wrapText="1"/>
    </xf>
    <xf numFmtId="0" fontId="69" fillId="22" borderId="109" xfId="0" applyFont="1" applyFill="1" applyBorder="1" applyAlignment="1">
      <alignment horizontal="left" vertical="center" wrapText="1"/>
    </xf>
    <xf numFmtId="0" fontId="0" fillId="22" borderId="110" xfId="0" applyFont="1" applyFill="1" applyBorder="1" applyAlignment="1">
      <alignment horizontal="center" vertical="center"/>
    </xf>
    <xf numFmtId="0" fontId="0" fillId="22" borderId="111" xfId="0" applyFont="1" applyFill="1" applyBorder="1" applyAlignment="1">
      <alignment horizontal="center" vertical="center"/>
    </xf>
    <xf numFmtId="0" fontId="112" fillId="22" borderId="3" xfId="0" applyFont="1" applyFill="1" applyBorder="1" applyAlignment="1">
      <alignment horizontal="left" vertical="center" wrapText="1"/>
    </xf>
    <xf numFmtId="0" fontId="112" fillId="0" borderId="3" xfId="0" applyFont="1" applyBorder="1" applyAlignment="1">
      <alignment horizontal="left" vertical="center" wrapText="1"/>
    </xf>
    <xf numFmtId="0" fontId="110" fillId="8" borderId="20" xfId="6" applyFont="1" applyBorder="1" applyAlignment="1">
      <alignment horizontal="center" vertical="center"/>
    </xf>
    <xf numFmtId="0" fontId="0" fillId="0" borderId="0" xfId="0" applyFont="1" applyBorder="1" applyAlignment="1">
      <alignment vertical="center" wrapText="1"/>
    </xf>
    <xf numFmtId="0" fontId="0" fillId="0" borderId="3" xfId="0" applyFont="1" applyBorder="1" applyAlignment="1">
      <alignment vertical="center" wrapText="1"/>
    </xf>
    <xf numFmtId="0" fontId="0" fillId="0" borderId="0" xfId="0" applyFont="1" applyAlignment="1">
      <alignment vertical="center" wrapText="1"/>
    </xf>
    <xf numFmtId="0" fontId="113" fillId="0" borderId="0" xfId="0" applyFont="1" applyBorder="1" applyAlignment="1">
      <alignment horizontal="left" vertical="center" wrapText="1"/>
    </xf>
    <xf numFmtId="0" fontId="0" fillId="0" borderId="16" xfId="0" applyFont="1" applyBorder="1" applyAlignment="1">
      <alignment vertical="center" wrapText="1"/>
    </xf>
    <xf numFmtId="0" fontId="0" fillId="0" borderId="0" xfId="0" applyFont="1" applyFill="1" applyBorder="1" applyAlignment="1">
      <alignment vertical="center" wrapText="1"/>
    </xf>
    <xf numFmtId="0" fontId="66" fillId="0" borderId="3" xfId="0" applyFont="1" applyBorder="1" applyAlignment="1">
      <alignment vertical="center" wrapText="1"/>
    </xf>
    <xf numFmtId="0" fontId="112" fillId="0" borderId="112" xfId="6" applyFont="1" applyFill="1" applyBorder="1" applyAlignment="1">
      <alignment horizontal="center" vertical="center" wrapText="1"/>
    </xf>
    <xf numFmtId="0" fontId="112" fillId="0" borderId="113" xfId="6"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14" xfId="0" applyFont="1" applyFill="1" applyBorder="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166" fontId="56" fillId="0" borderId="0" xfId="28" applyNumberFormat="1" applyFont="1" applyAlignment="1">
      <alignment vertical="center" wrapText="1"/>
    </xf>
    <xf numFmtId="0" fontId="86" fillId="13" borderId="0" xfId="0" applyFont="1" applyFill="1" applyAlignment="1"/>
    <xf numFmtId="0" fontId="0" fillId="22" borderId="22" xfId="0" applyFont="1" applyFill="1" applyBorder="1" applyAlignment="1">
      <alignment vertical="center" wrapText="1"/>
    </xf>
    <xf numFmtId="0" fontId="0" fillId="0" borderId="0" xfId="0" applyFont="1" applyBorder="1" applyAlignment="1">
      <alignment horizontal="center" vertical="center" wrapText="1"/>
    </xf>
    <xf numFmtId="0" fontId="113" fillId="0" borderId="0" xfId="0" applyFont="1" applyBorder="1" applyAlignment="1">
      <alignment horizontal="center" vertical="center" wrapText="1"/>
    </xf>
    <xf numFmtId="0" fontId="112" fillId="0" borderId="0" xfId="0" applyFont="1" applyBorder="1" applyAlignment="1">
      <alignment horizontal="center" vertical="center" wrapText="1"/>
    </xf>
    <xf numFmtId="0" fontId="68" fillId="8" borderId="3" xfId="6" applyFont="1" applyBorder="1" applyAlignment="1">
      <alignment horizontal="center" vertical="center" wrapText="1"/>
    </xf>
    <xf numFmtId="0" fontId="59" fillId="8" borderId="3" xfId="6" applyFont="1" applyBorder="1" applyAlignment="1">
      <alignment horizontal="center" vertical="center" wrapText="1"/>
    </xf>
    <xf numFmtId="0" fontId="68" fillId="8" borderId="35" xfId="6" applyFont="1" applyBorder="1" applyAlignment="1">
      <alignment horizontal="center" vertical="center" wrapText="1"/>
    </xf>
    <xf numFmtId="0" fontId="68" fillId="8" borderId="20" xfId="6" applyFont="1" applyBorder="1" applyAlignment="1">
      <alignment horizontal="center" vertical="center" wrapText="1"/>
    </xf>
    <xf numFmtId="0" fontId="0" fillId="0" borderId="3" xfId="0" applyFont="1" applyFill="1" applyBorder="1" applyAlignment="1">
      <alignment horizontal="left" vertical="center" wrapText="1" readingOrder="1"/>
    </xf>
    <xf numFmtId="0" fontId="112" fillId="0" borderId="3" xfId="0" applyFont="1" applyFill="1" applyBorder="1" applyAlignment="1">
      <alignment horizontal="left" vertical="center" wrapText="1"/>
    </xf>
    <xf numFmtId="0" fontId="112" fillId="0" borderId="114" xfId="6" applyFont="1" applyFill="1" applyBorder="1" applyAlignment="1">
      <alignment horizontal="center" vertical="center" wrapText="1"/>
    </xf>
    <xf numFmtId="0" fontId="112" fillId="22" borderId="3" xfId="0" applyFont="1" applyFill="1" applyBorder="1" applyAlignment="1">
      <alignment horizontal="left" vertical="center" wrapText="1" readingOrder="1"/>
    </xf>
    <xf numFmtId="0" fontId="112" fillId="22" borderId="3" xfId="0" applyFont="1" applyFill="1" applyBorder="1" applyAlignment="1">
      <alignment vertical="center" wrapText="1"/>
    </xf>
    <xf numFmtId="0" fontId="0" fillId="22" borderId="3" xfId="0" applyFont="1" applyFill="1" applyBorder="1" applyAlignment="1">
      <alignment vertical="center"/>
    </xf>
    <xf numFmtId="0" fontId="112" fillId="0" borderId="110" xfId="6" applyFont="1" applyFill="1" applyBorder="1" applyAlignment="1">
      <alignment horizontal="center" vertical="center" wrapText="1"/>
    </xf>
    <xf numFmtId="0" fontId="112" fillId="0" borderId="111" xfId="6" applyFont="1" applyFill="1" applyBorder="1" applyAlignment="1">
      <alignment horizontal="center" vertical="center" wrapText="1"/>
    </xf>
    <xf numFmtId="0" fontId="0" fillId="22" borderId="3" xfId="0" applyFont="1" applyFill="1" applyBorder="1" applyAlignment="1">
      <alignment vertical="center" wrapText="1"/>
    </xf>
    <xf numFmtId="0" fontId="0" fillId="22" borderId="0" xfId="0" applyFont="1" applyFill="1" applyAlignment="1">
      <alignment vertical="center" wrapText="1"/>
    </xf>
    <xf numFmtId="0" fontId="0" fillId="0" borderId="3" xfId="0" applyFont="1" applyFill="1" applyBorder="1" applyAlignment="1">
      <alignment vertical="center" wrapText="1"/>
    </xf>
    <xf numFmtId="0" fontId="112" fillId="0" borderId="3" xfId="6" applyFont="1" applyFill="1" applyBorder="1" applyAlignment="1">
      <alignment horizontal="center" vertical="center" wrapText="1"/>
    </xf>
    <xf numFmtId="0" fontId="113" fillId="0" borderId="0" xfId="0" applyFont="1" applyBorder="1" applyAlignment="1">
      <alignment horizontal="left" vertical="center"/>
    </xf>
    <xf numFmtId="0" fontId="0" fillId="0" borderId="35" xfId="0" applyFont="1" applyBorder="1"/>
    <xf numFmtId="0" fontId="0" fillId="0" borderId="22" xfId="0" applyFont="1" applyBorder="1"/>
    <xf numFmtId="0" fontId="0" fillId="0" borderId="16" xfId="0" applyFont="1" applyBorder="1"/>
    <xf numFmtId="0" fontId="112" fillId="35" borderId="115" xfId="6" applyFont="1" applyFill="1" applyBorder="1" applyAlignment="1">
      <alignment horizontal="center" vertical="center" wrapText="1"/>
    </xf>
    <xf numFmtId="0" fontId="0" fillId="0" borderId="3" xfId="0" applyFont="1" applyBorder="1"/>
    <xf numFmtId="0" fontId="0" fillId="0" borderId="3" xfId="0" applyFont="1" applyBorder="1" applyAlignment="1">
      <alignment horizontal="center" vertical="center"/>
    </xf>
    <xf numFmtId="0" fontId="0" fillId="0" borderId="3" xfId="0" applyFont="1" applyBorder="1" applyAlignment="1">
      <alignment horizontal="left"/>
    </xf>
    <xf numFmtId="0" fontId="112" fillId="35" borderId="113" xfId="6"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left"/>
    </xf>
    <xf numFmtId="0" fontId="0" fillId="13" borderId="0" xfId="0" applyFont="1" applyFill="1"/>
    <xf numFmtId="0" fontId="0" fillId="13" borderId="0" xfId="0" applyFont="1" applyFill="1" applyAlignment="1">
      <alignment horizontal="left"/>
    </xf>
    <xf numFmtId="0" fontId="0" fillId="22" borderId="0" xfId="0" applyFont="1" applyFill="1" applyAlignment="1">
      <alignment vertical="center"/>
    </xf>
    <xf numFmtId="0" fontId="113" fillId="0" borderId="0" xfId="0" applyFont="1" applyBorder="1" applyAlignment="1">
      <alignment horizontal="center" vertical="center"/>
    </xf>
    <xf numFmtId="0" fontId="112" fillId="0" borderId="0" xfId="0" applyFont="1" applyBorder="1" applyAlignment="1">
      <alignment horizontal="center" vertical="center"/>
    </xf>
    <xf numFmtId="0" fontId="68" fillId="8" borderId="15" xfId="6" applyFont="1" applyBorder="1" applyAlignment="1">
      <alignment horizontal="center" vertical="center" wrapText="1"/>
    </xf>
    <xf numFmtId="0" fontId="68" fillId="8" borderId="3" xfId="6" applyFont="1" applyBorder="1" applyAlignment="1">
      <alignment horizontal="center" vertical="center"/>
    </xf>
    <xf numFmtId="0" fontId="68" fillId="8" borderId="9" xfId="6" applyFont="1" applyBorder="1" applyAlignment="1">
      <alignment horizontal="center" vertical="center" wrapText="1"/>
    </xf>
    <xf numFmtId="0" fontId="112" fillId="22" borderId="116" xfId="6" applyFont="1" applyFill="1" applyBorder="1" applyAlignment="1">
      <alignment horizontal="center" vertical="center" wrapText="1"/>
    </xf>
    <xf numFmtId="0" fontId="112" fillId="35" borderId="117" xfId="6" applyFont="1" applyFill="1" applyBorder="1" applyAlignment="1">
      <alignment horizontal="center" vertical="center" wrapText="1"/>
    </xf>
    <xf numFmtId="0" fontId="112" fillId="35" borderId="109" xfId="6" applyFont="1" applyFill="1" applyBorder="1" applyAlignment="1">
      <alignment horizontal="center" vertical="center" wrapText="1"/>
    </xf>
    <xf numFmtId="0" fontId="112" fillId="35" borderId="118" xfId="6" applyFont="1" applyFill="1" applyBorder="1" applyAlignment="1">
      <alignment horizontal="center" vertical="center" wrapText="1"/>
    </xf>
    <xf numFmtId="0" fontId="112" fillId="22" borderId="119" xfId="6" applyFont="1" applyFill="1" applyBorder="1" applyAlignment="1">
      <alignment horizontal="center" vertical="center" wrapText="1"/>
    </xf>
    <xf numFmtId="0" fontId="112" fillId="35" borderId="120" xfId="6" applyFont="1" applyFill="1" applyBorder="1" applyAlignment="1">
      <alignment horizontal="center" vertical="center" wrapText="1"/>
    </xf>
    <xf numFmtId="0" fontId="112" fillId="35" borderId="121" xfId="6" applyFont="1" applyFill="1" applyBorder="1" applyAlignment="1">
      <alignment horizontal="center" vertical="center" wrapText="1"/>
    </xf>
    <xf numFmtId="0" fontId="112" fillId="35" borderId="122" xfId="6" applyFont="1" applyFill="1" applyBorder="1" applyAlignment="1">
      <alignment horizontal="center" vertical="center" wrapText="1"/>
    </xf>
    <xf numFmtId="0" fontId="112" fillId="22" borderId="123" xfId="6" applyFont="1" applyFill="1" applyBorder="1" applyAlignment="1">
      <alignment horizontal="center" vertical="center" wrapText="1"/>
    </xf>
    <xf numFmtId="0" fontId="112" fillId="35" borderId="124" xfId="6" applyFont="1" applyFill="1" applyBorder="1" applyAlignment="1">
      <alignment horizontal="center" vertical="center" wrapText="1"/>
    </xf>
    <xf numFmtId="0" fontId="112" fillId="35" borderId="125" xfId="6" applyFont="1" applyFill="1" applyBorder="1" applyAlignment="1">
      <alignment horizontal="center" vertical="center" wrapText="1"/>
    </xf>
    <xf numFmtId="0" fontId="112" fillId="35" borderId="126" xfId="6" applyFont="1" applyFill="1" applyBorder="1" applyAlignment="1">
      <alignment horizontal="center" vertical="center" wrapText="1"/>
    </xf>
    <xf numFmtId="0" fontId="112" fillId="35" borderId="127" xfId="6" applyFont="1" applyFill="1" applyBorder="1" applyAlignment="1">
      <alignment horizontal="center" vertical="center" wrapText="1"/>
    </xf>
    <xf numFmtId="0" fontId="112" fillId="35" borderId="128" xfId="6" applyFont="1" applyFill="1" applyBorder="1" applyAlignment="1">
      <alignment horizontal="center" vertical="center" wrapText="1"/>
    </xf>
    <xf numFmtId="0" fontId="112" fillId="35" borderId="129" xfId="6" applyFont="1" applyFill="1" applyBorder="1" applyAlignment="1">
      <alignment horizontal="center" vertical="center" wrapText="1"/>
    </xf>
    <xf numFmtId="0" fontId="112" fillId="35" borderId="130" xfId="6" applyFont="1" applyFill="1" applyBorder="1" applyAlignment="1">
      <alignment horizontal="center" vertical="center" wrapText="1"/>
    </xf>
    <xf numFmtId="0" fontId="112" fillId="35" borderId="131" xfId="6" applyFont="1" applyFill="1" applyBorder="1" applyAlignment="1">
      <alignment horizontal="center" vertical="center" wrapText="1"/>
    </xf>
    <xf numFmtId="0" fontId="112" fillId="35" borderId="132" xfId="6" applyFont="1" applyFill="1" applyBorder="1" applyAlignment="1">
      <alignment horizontal="center" vertical="center" wrapText="1"/>
    </xf>
    <xf numFmtId="0" fontId="112" fillId="35" borderId="133" xfId="6" applyFont="1" applyFill="1" applyBorder="1" applyAlignment="1">
      <alignment horizontal="center" vertical="center" wrapText="1"/>
    </xf>
    <xf numFmtId="0" fontId="112" fillId="35" borderId="134" xfId="6" applyFont="1" applyFill="1" applyBorder="1" applyAlignment="1">
      <alignment horizontal="center" vertical="center" wrapText="1"/>
    </xf>
    <xf numFmtId="0" fontId="112" fillId="35" borderId="114" xfId="6" applyFont="1" applyFill="1" applyBorder="1" applyAlignment="1">
      <alignment horizontal="center" vertical="center" wrapText="1"/>
    </xf>
    <xf numFmtId="0" fontId="112" fillId="35" borderId="135" xfId="6" applyFont="1" applyFill="1" applyBorder="1" applyAlignment="1">
      <alignment horizontal="center" vertical="center" wrapText="1"/>
    </xf>
    <xf numFmtId="0" fontId="112" fillId="35" borderId="136" xfId="6" applyFont="1" applyFill="1" applyBorder="1" applyAlignment="1">
      <alignment horizontal="center" vertical="center" wrapText="1"/>
    </xf>
    <xf numFmtId="0" fontId="112" fillId="35" borderId="137" xfId="6" applyFont="1" applyFill="1" applyBorder="1" applyAlignment="1">
      <alignment horizontal="center" vertical="center" wrapText="1"/>
    </xf>
    <xf numFmtId="0" fontId="112" fillId="35" borderId="138" xfId="6" applyFont="1" applyFill="1" applyBorder="1" applyAlignment="1">
      <alignment horizontal="center" vertical="center" wrapText="1"/>
    </xf>
    <xf numFmtId="0" fontId="112" fillId="35" borderId="139" xfId="6" applyFont="1" applyFill="1" applyBorder="1" applyAlignment="1">
      <alignment horizontal="center" vertical="center" wrapText="1"/>
    </xf>
    <xf numFmtId="0" fontId="112" fillId="22" borderId="140" xfId="6" applyFont="1" applyFill="1" applyBorder="1" applyAlignment="1">
      <alignment horizontal="center" vertical="center" wrapText="1"/>
    </xf>
    <xf numFmtId="0" fontId="112" fillId="35" borderId="141" xfId="6" applyFont="1" applyFill="1" applyBorder="1" applyAlignment="1">
      <alignment horizontal="center" vertical="center" wrapText="1"/>
    </xf>
    <xf numFmtId="0" fontId="112" fillId="35" borderId="142" xfId="6" applyFont="1" applyFill="1" applyBorder="1" applyAlignment="1">
      <alignment horizontal="center" vertical="center" wrapText="1"/>
    </xf>
    <xf numFmtId="0" fontId="0" fillId="0" borderId="3" xfId="0" applyFont="1" applyBorder="1" applyAlignment="1">
      <alignment horizontal="center"/>
    </xf>
    <xf numFmtId="0" fontId="112" fillId="35" borderId="143" xfId="6" applyFont="1" applyFill="1" applyBorder="1" applyAlignment="1">
      <alignment horizontal="center" vertical="center" wrapText="1"/>
    </xf>
    <xf numFmtId="0" fontId="112" fillId="35" borderId="144" xfId="6" applyFont="1" applyFill="1" applyBorder="1" applyAlignment="1">
      <alignment horizontal="center" vertical="center" wrapText="1"/>
    </xf>
    <xf numFmtId="0" fontId="112" fillId="35" borderId="110" xfId="6" applyFont="1" applyFill="1" applyBorder="1" applyAlignment="1">
      <alignment horizontal="center" vertical="center" wrapText="1"/>
    </xf>
    <xf numFmtId="0" fontId="112" fillId="35" borderId="145" xfId="6" applyFont="1" applyFill="1" applyBorder="1" applyAlignment="1">
      <alignment horizontal="center" vertical="center" wrapText="1"/>
    </xf>
    <xf numFmtId="0" fontId="112" fillId="35" borderId="111" xfId="6" applyFont="1" applyFill="1" applyBorder="1" applyAlignment="1">
      <alignment horizontal="center" vertical="center" wrapText="1"/>
    </xf>
    <xf numFmtId="0" fontId="0" fillId="0" borderId="0" xfId="0" applyFont="1" applyAlignment="1">
      <alignment horizontal="center"/>
    </xf>
    <xf numFmtId="0" fontId="68" fillId="8" borderId="35" xfId="6" applyFont="1" applyBorder="1" applyAlignment="1">
      <alignment horizontal="center" vertical="center"/>
    </xf>
    <xf numFmtId="0" fontId="0" fillId="0" borderId="0" xfId="0" applyFont="1" applyAlignment="1"/>
    <xf numFmtId="0" fontId="0" fillId="0" borderId="0" xfId="0" applyFont="1" applyAlignment="1">
      <alignment wrapText="1"/>
    </xf>
    <xf numFmtId="0" fontId="0" fillId="0" borderId="0" xfId="0" applyFont="1" applyAlignment="1">
      <alignment vertical="center"/>
    </xf>
    <xf numFmtId="0" fontId="0" fillId="0" borderId="3" xfId="0" applyFont="1" applyBorder="1" applyAlignment="1">
      <alignment vertical="center"/>
    </xf>
    <xf numFmtId="0" fontId="112" fillId="35" borderId="3" xfId="6" applyFont="1" applyFill="1" applyBorder="1" applyAlignment="1">
      <alignment horizontal="center" vertical="center" wrapText="1"/>
    </xf>
    <xf numFmtId="0" fontId="112" fillId="0" borderId="146" xfId="6" applyFont="1" applyFill="1" applyBorder="1" applyAlignment="1">
      <alignment horizontal="center" vertical="center" wrapText="1"/>
    </xf>
    <xf numFmtId="0" fontId="0" fillId="0" borderId="3" xfId="0" applyFont="1" applyFill="1" applyBorder="1" applyAlignment="1">
      <alignment horizontal="center" vertical="center"/>
    </xf>
    <xf numFmtId="0" fontId="86" fillId="13" borderId="0" xfId="0" applyFont="1" applyFill="1" applyAlignment="1">
      <alignment horizontal="left"/>
    </xf>
    <xf numFmtId="9" fontId="112" fillId="0" borderId="11" xfId="0" applyNumberFormat="1" applyFont="1" applyBorder="1" applyAlignment="1">
      <alignment horizontal="center" vertical="center"/>
    </xf>
    <xf numFmtId="0" fontId="112" fillId="0" borderId="65" xfId="0" applyFont="1" applyBorder="1" applyAlignment="1">
      <alignment horizontal="left" vertical="center" wrapText="1"/>
    </xf>
    <xf numFmtId="0" fontId="112" fillId="0" borderId="22" xfId="0" applyFont="1" applyBorder="1" applyAlignment="1">
      <alignment vertical="center" wrapText="1"/>
    </xf>
    <xf numFmtId="0" fontId="112" fillId="0" borderId="11" xfId="0" applyFont="1" applyBorder="1" applyAlignment="1">
      <alignment horizontal="center" vertical="center"/>
    </xf>
    <xf numFmtId="0" fontId="114" fillId="22" borderId="3" xfId="0" applyFont="1" applyFill="1" applyBorder="1" applyAlignment="1">
      <alignment vertical="center" wrapText="1"/>
    </xf>
    <xf numFmtId="9" fontId="112" fillId="0" borderId="12" xfId="0" applyNumberFormat="1" applyFont="1" applyBorder="1" applyAlignment="1">
      <alignment horizontal="center" vertical="center"/>
    </xf>
    <xf numFmtId="0" fontId="112" fillId="0" borderId="13" xfId="0" applyFont="1" applyBorder="1" applyAlignment="1">
      <alignment vertical="center" wrapText="1"/>
    </xf>
    <xf numFmtId="0" fontId="0" fillId="0" borderId="15" xfId="0" applyFont="1" applyBorder="1" applyAlignment="1">
      <alignment horizontal="left"/>
    </xf>
    <xf numFmtId="0" fontId="112" fillId="22" borderId="13" xfId="6" applyFont="1" applyFill="1" applyBorder="1" applyAlignment="1">
      <alignment horizontal="left" vertical="center" wrapText="1"/>
    </xf>
    <xf numFmtId="0" fontId="112" fillId="35" borderId="147" xfId="6" applyFont="1" applyFill="1" applyBorder="1" applyAlignment="1">
      <alignment horizontal="center" vertical="center" wrapText="1"/>
    </xf>
    <xf numFmtId="0" fontId="112" fillId="35" borderId="148" xfId="6" applyFont="1" applyFill="1" applyBorder="1" applyAlignment="1">
      <alignment horizontal="center" vertical="center" wrapText="1"/>
    </xf>
    <xf numFmtId="0" fontId="112" fillId="35" borderId="149" xfId="6" applyFont="1" applyFill="1" applyBorder="1" applyAlignment="1">
      <alignment horizontal="center" vertical="center" wrapText="1"/>
    </xf>
    <xf numFmtId="0" fontId="112" fillId="0" borderId="0" xfId="0" applyFont="1"/>
    <xf numFmtId="0" fontId="112" fillId="22" borderId="15" xfId="6" applyFont="1" applyFill="1" applyBorder="1" applyAlignment="1">
      <alignment horizontal="left" vertical="center" wrapText="1"/>
    </xf>
    <xf numFmtId="0" fontId="112" fillId="35" borderId="150" xfId="6" applyFont="1" applyFill="1" applyBorder="1" applyAlignment="1">
      <alignment horizontal="center" vertical="center" wrapText="1"/>
    </xf>
    <xf numFmtId="0" fontId="112" fillId="35" borderId="151" xfId="6" applyFont="1" applyFill="1" applyBorder="1" applyAlignment="1">
      <alignment horizontal="center" vertical="center" wrapText="1"/>
    </xf>
    <xf numFmtId="0" fontId="112" fillId="35" borderId="152" xfId="6" applyFont="1" applyFill="1" applyBorder="1" applyAlignment="1">
      <alignment horizontal="center" vertical="center" wrapText="1"/>
    </xf>
    <xf numFmtId="0" fontId="112" fillId="35" borderId="153" xfId="6" applyFont="1" applyFill="1" applyBorder="1" applyAlignment="1">
      <alignment horizontal="center" vertical="center" wrapText="1"/>
    </xf>
    <xf numFmtId="0" fontId="0" fillId="22" borderId="3" xfId="0" applyFont="1" applyFill="1" applyBorder="1"/>
    <xf numFmtId="0" fontId="0" fillId="22" borderId="0" xfId="0" applyFont="1" applyFill="1"/>
    <xf numFmtId="0" fontId="112" fillId="0" borderId="0" xfId="0" applyFont="1" applyAlignment="1">
      <alignment vertical="center"/>
    </xf>
    <xf numFmtId="0" fontId="0" fillId="0" borderId="3" xfId="0" applyFont="1" applyFill="1" applyBorder="1"/>
    <xf numFmtId="0" fontId="0" fillId="0" borderId="3" xfId="0" applyFont="1" applyFill="1" applyBorder="1" applyAlignment="1">
      <alignment horizontal="center"/>
    </xf>
    <xf numFmtId="0" fontId="0" fillId="0" borderId="15" xfId="0" applyFont="1" applyFill="1" applyBorder="1" applyAlignment="1">
      <alignment horizontal="left"/>
    </xf>
    <xf numFmtId="9" fontId="112" fillId="0" borderId="113" xfId="6" applyNumberFormat="1" applyFont="1" applyFill="1" applyBorder="1" applyAlignment="1">
      <alignment horizontal="center" vertical="center" wrapText="1"/>
    </xf>
    <xf numFmtId="0" fontId="0" fillId="0" borderId="0" xfId="0" applyFont="1" applyFill="1"/>
    <xf numFmtId="9" fontId="112" fillId="0" borderId="3" xfId="0" applyNumberFormat="1" applyFont="1" applyBorder="1" applyAlignment="1">
      <alignment horizontal="center" vertical="center"/>
    </xf>
    <xf numFmtId="0" fontId="112" fillId="0" borderId="3" xfId="0" applyFont="1" applyBorder="1" applyAlignment="1">
      <alignment vertical="center" wrapText="1"/>
    </xf>
    <xf numFmtId="0" fontId="112" fillId="0" borderId="3" xfId="0" applyFont="1" applyBorder="1" applyAlignment="1">
      <alignment horizontal="center" vertical="center"/>
    </xf>
    <xf numFmtId="0" fontId="0" fillId="0" borderId="0" xfId="0" applyFont="1"/>
    <xf numFmtId="9" fontId="0" fillId="0" borderId="3" xfId="0" applyNumberFormat="1" applyFont="1" applyBorder="1" applyAlignment="1">
      <alignment horizontal="center" vertical="center"/>
    </xf>
    <xf numFmtId="9" fontId="0" fillId="36" borderId="3" xfId="0" applyNumberFormat="1" applyFont="1" applyFill="1" applyBorder="1" applyAlignment="1">
      <alignment horizontal="center" vertical="center"/>
    </xf>
    <xf numFmtId="0" fontId="0" fillId="0" borderId="3" xfId="0" applyFont="1" applyBorder="1" applyAlignment="1">
      <alignment vertical="center" wrapText="1"/>
    </xf>
    <xf numFmtId="0" fontId="0" fillId="0" borderId="3" xfId="0" applyFont="1" applyBorder="1" applyAlignment="1">
      <alignment horizontal="center" vertical="center" wrapText="1"/>
    </xf>
    <xf numFmtId="0" fontId="0" fillId="0" borderId="3" xfId="0" applyFont="1" applyBorder="1" applyAlignment="1">
      <alignment horizontal="center" vertical="center"/>
    </xf>
    <xf numFmtId="0" fontId="0" fillId="0" borderId="3" xfId="0" applyFont="1" applyBorder="1"/>
    <xf numFmtId="0" fontId="0" fillId="0" borderId="3" xfId="0" applyFont="1" applyBorder="1" applyAlignment="1">
      <alignment horizontal="left"/>
    </xf>
    <xf numFmtId="0" fontId="0" fillId="0" borderId="0" xfId="0" applyFont="1" applyAlignment="1">
      <alignment horizontal="center" vertical="center"/>
    </xf>
    <xf numFmtId="0" fontId="0" fillId="0" borderId="0" xfId="0" applyFont="1" applyAlignment="1">
      <alignment horizontal="left"/>
    </xf>
    <xf numFmtId="0" fontId="0" fillId="13" borderId="0" xfId="0" applyFont="1" applyFill="1" applyAlignment="1">
      <alignment horizontal="center"/>
    </xf>
    <xf numFmtId="0" fontId="0" fillId="13" borderId="0" xfId="0" applyFont="1" applyFill="1"/>
    <xf numFmtId="166" fontId="86" fillId="13" borderId="0" xfId="28" applyNumberFormat="1" applyFont="1" applyFill="1" applyAlignment="1">
      <alignment horizontal="center"/>
    </xf>
    <xf numFmtId="0" fontId="0" fillId="0" borderId="0" xfId="0" applyFont="1" applyBorder="1"/>
    <xf numFmtId="0" fontId="0" fillId="22" borderId="0" xfId="0" applyFont="1" applyFill="1" applyAlignment="1">
      <alignment vertical="center"/>
    </xf>
    <xf numFmtId="0" fontId="0" fillId="22" borderId="3" xfId="0" applyFont="1" applyFill="1" applyBorder="1" applyAlignment="1">
      <alignment horizontal="left" vertical="center" wrapText="1" readingOrder="1"/>
    </xf>
    <xf numFmtId="0" fontId="0" fillId="22" borderId="3" xfId="0" applyFont="1" applyFill="1" applyBorder="1"/>
    <xf numFmtId="0" fontId="0" fillId="0" borderId="3" xfId="0" applyFont="1" applyBorder="1" applyAlignment="1">
      <alignment horizontal="center"/>
    </xf>
    <xf numFmtId="0" fontId="0" fillId="22" borderId="0" xfId="0" applyFont="1" applyFill="1"/>
    <xf numFmtId="0" fontId="0" fillId="0" borderId="0" xfId="0" applyFont="1" applyAlignment="1">
      <alignment horizontal="center"/>
    </xf>
    <xf numFmtId="0" fontId="0" fillId="0" borderId="0" xfId="0" applyFont="1" applyAlignment="1">
      <alignment wrapText="1"/>
    </xf>
    <xf numFmtId="9" fontId="0" fillId="0" borderId="3" xfId="0" applyNumberFormat="1" applyFont="1" applyBorder="1" applyAlignment="1">
      <alignment horizontal="center"/>
    </xf>
    <xf numFmtId="0" fontId="0" fillId="0" borderId="0" xfId="0" applyFont="1" applyAlignment="1">
      <alignment vertical="center"/>
    </xf>
    <xf numFmtId="9" fontId="56" fillId="0" borderId="0" xfId="28" applyFont="1"/>
    <xf numFmtId="166" fontId="56" fillId="0" borderId="0" xfId="28" applyNumberFormat="1" applyFont="1"/>
    <xf numFmtId="0" fontId="0" fillId="22" borderId="3" xfId="0" applyFont="1" applyFill="1" applyBorder="1" applyAlignment="1">
      <alignment horizontal="left" vertical="center" wrapText="1"/>
    </xf>
    <xf numFmtId="0" fontId="0" fillId="0" borderId="3" xfId="0" applyFont="1" applyFill="1" applyBorder="1" applyAlignment="1">
      <alignment horizontal="left" vertical="center" wrapText="1" readingOrder="1"/>
    </xf>
    <xf numFmtId="0" fontId="0" fillId="22" borderId="15" xfId="0" applyFont="1" applyFill="1" applyBorder="1" applyAlignment="1">
      <alignment vertical="center"/>
    </xf>
    <xf numFmtId="0" fontId="0" fillId="0" borderId="3" xfId="0" applyFont="1" applyBorder="1" applyAlignment="1">
      <alignment vertical="center"/>
    </xf>
    <xf numFmtId="0" fontId="0" fillId="0" borderId="3" xfId="0" applyFont="1" applyBorder="1" applyAlignment="1">
      <alignment horizontal="left" vertical="center"/>
    </xf>
    <xf numFmtId="0" fontId="0" fillId="13" borderId="0" xfId="0" applyFont="1" applyFill="1" applyAlignment="1">
      <alignment horizontal="left"/>
    </xf>
    <xf numFmtId="0" fontId="0" fillId="36" borderId="0" xfId="0" applyFont="1" applyFill="1"/>
    <xf numFmtId="9" fontId="112" fillId="0" borderId="3" xfId="28" applyFont="1" applyFill="1" applyBorder="1" applyAlignment="1">
      <alignment horizontal="center" vertical="center" wrapText="1"/>
    </xf>
    <xf numFmtId="9" fontId="112" fillId="0" borderId="154" xfId="6" applyNumberFormat="1" applyFont="1" applyFill="1" applyBorder="1" applyAlignment="1">
      <alignment horizontal="center" vertical="center" wrapText="1"/>
    </xf>
    <xf numFmtId="0" fontId="112" fillId="0" borderId="155" xfId="6" applyFont="1" applyFill="1" applyBorder="1" applyAlignment="1">
      <alignment horizontal="center" vertical="center" wrapText="1"/>
    </xf>
    <xf numFmtId="9" fontId="112" fillId="0" borderId="156" xfId="6" applyNumberFormat="1" applyFont="1" applyFill="1" applyBorder="1" applyAlignment="1">
      <alignment horizontal="center" vertical="center" wrapText="1"/>
    </xf>
    <xf numFmtId="10" fontId="112" fillId="0" borderId="154" xfId="6" applyNumberFormat="1" applyFont="1" applyFill="1" applyBorder="1" applyAlignment="1">
      <alignment horizontal="center" vertical="center" wrapText="1"/>
    </xf>
    <xf numFmtId="0" fontId="112" fillId="0" borderId="157" xfId="6" applyFont="1" applyFill="1" applyBorder="1" applyAlignment="1">
      <alignment horizontal="center" vertical="center" wrapText="1"/>
    </xf>
    <xf numFmtId="0" fontId="112" fillId="0" borderId="158" xfId="6" applyFont="1" applyFill="1" applyBorder="1" applyAlignment="1">
      <alignment horizontal="center" vertical="center" wrapText="1"/>
    </xf>
    <xf numFmtId="0" fontId="112" fillId="0" borderId="159" xfId="6" applyFont="1" applyFill="1" applyBorder="1" applyAlignment="1">
      <alignment horizontal="center" vertical="center" wrapText="1"/>
    </xf>
    <xf numFmtId="0" fontId="112" fillId="35" borderId="160" xfId="6" applyFont="1" applyFill="1" applyBorder="1" applyAlignment="1">
      <alignment horizontal="center" vertical="center" wrapText="1"/>
    </xf>
    <xf numFmtId="0" fontId="112" fillId="35" borderId="161" xfId="6" applyFont="1" applyFill="1" applyBorder="1" applyAlignment="1">
      <alignment horizontal="center" vertical="center" wrapText="1"/>
    </xf>
    <xf numFmtId="0" fontId="68" fillId="8" borderId="10" xfId="6" applyFont="1" applyBorder="1" applyAlignment="1">
      <alignment horizontal="center" vertical="center" wrapText="1"/>
    </xf>
    <xf numFmtId="0" fontId="0" fillId="0" borderId="10" xfId="0" applyFont="1" applyFill="1" applyBorder="1" applyAlignment="1">
      <alignment vertical="center" wrapText="1"/>
    </xf>
    <xf numFmtId="0" fontId="112" fillId="0" borderId="64" xfId="0" applyFont="1" applyFill="1" applyBorder="1" applyAlignment="1">
      <alignment horizontal="center" vertical="center" wrapText="1"/>
    </xf>
    <xf numFmtId="9" fontId="0" fillId="0" borderId="162" xfId="0" applyNumberFormat="1" applyFont="1" applyBorder="1" applyAlignment="1">
      <alignment horizontal="center" vertical="center"/>
    </xf>
    <xf numFmtId="9" fontId="0" fillId="0" borderId="163" xfId="0" applyNumberFormat="1" applyFont="1" applyBorder="1" applyAlignment="1">
      <alignment horizontal="center" vertical="center"/>
    </xf>
    <xf numFmtId="0" fontId="0" fillId="0" borderId="164" xfId="0" applyFont="1" applyBorder="1" applyAlignment="1">
      <alignment horizontal="center" vertical="center"/>
    </xf>
    <xf numFmtId="0" fontId="0" fillId="0" borderId="108" xfId="0" applyFont="1" applyBorder="1"/>
    <xf numFmtId="0" fontId="0" fillId="0" borderId="103" xfId="0" applyFont="1" applyBorder="1"/>
    <xf numFmtId="0" fontId="0" fillId="0" borderId="104" xfId="0" applyFont="1" applyBorder="1"/>
    <xf numFmtId="0" fontId="0" fillId="0" borderId="15" xfId="0" applyFont="1" applyBorder="1"/>
    <xf numFmtId="0" fontId="0" fillId="0" borderId="64" xfId="0" applyFont="1" applyBorder="1"/>
    <xf numFmtId="0" fontId="86" fillId="0" borderId="0" xfId="0" applyFont="1" applyAlignment="1">
      <alignment horizontal="center" vertical="center" wrapText="1"/>
    </xf>
    <xf numFmtId="0" fontId="68" fillId="8" borderId="10" xfId="6" applyFont="1" applyBorder="1" applyAlignment="1">
      <alignment horizontal="center" vertical="center"/>
    </xf>
    <xf numFmtId="0" fontId="0" fillId="22" borderId="3" xfId="0" applyFont="1" applyFill="1" applyBorder="1" applyAlignment="1">
      <alignment vertical="center" wrapText="1"/>
    </xf>
    <xf numFmtId="15" fontId="0" fillId="22" borderId="20" xfId="0" applyNumberFormat="1" applyFont="1" applyFill="1" applyBorder="1" applyAlignment="1">
      <alignment horizontal="center" vertical="center" wrapText="1"/>
    </xf>
    <xf numFmtId="0" fontId="0" fillId="0" borderId="0" xfId="0" applyFont="1" applyAlignment="1">
      <alignment vertical="center" wrapText="1"/>
    </xf>
    <xf numFmtId="0" fontId="0" fillId="35" borderId="105" xfId="0" applyFont="1" applyFill="1" applyBorder="1" applyAlignment="1">
      <alignment horizontal="center" vertical="center"/>
    </xf>
    <xf numFmtId="0" fontId="0" fillId="35" borderId="100" xfId="0" applyFont="1" applyFill="1" applyBorder="1" applyAlignment="1">
      <alignment horizontal="center" vertical="center"/>
    </xf>
    <xf numFmtId="0" fontId="0" fillId="35" borderId="100" xfId="0" applyFont="1" applyFill="1" applyBorder="1" applyAlignment="1">
      <alignment vertical="center"/>
    </xf>
    <xf numFmtId="0" fontId="0" fillId="35" borderId="104" xfId="0" applyFont="1" applyFill="1" applyBorder="1" applyAlignment="1">
      <alignment horizontal="center" vertical="center"/>
    </xf>
    <xf numFmtId="0" fontId="0" fillId="35" borderId="106" xfId="0" applyFont="1" applyFill="1" applyBorder="1" applyAlignment="1">
      <alignment horizontal="center" vertical="center"/>
    </xf>
    <xf numFmtId="0" fontId="0" fillId="35" borderId="99" xfId="0" applyFont="1" applyFill="1" applyBorder="1" applyAlignment="1">
      <alignment horizontal="center" vertical="center"/>
    </xf>
    <xf numFmtId="0" fontId="0" fillId="35" borderId="102" xfId="0" applyFont="1" applyFill="1" applyBorder="1" applyAlignment="1">
      <alignment horizontal="center" vertical="center"/>
    </xf>
    <xf numFmtId="0" fontId="0" fillId="35" borderId="106" xfId="0" applyFont="1" applyFill="1" applyBorder="1" applyAlignment="1">
      <alignment vertical="center"/>
    </xf>
    <xf numFmtId="0" fontId="0" fillId="35" borderId="99" xfId="0" applyFont="1" applyFill="1" applyBorder="1" applyAlignment="1">
      <alignment vertical="center"/>
    </xf>
    <xf numFmtId="0" fontId="0" fillId="35" borderId="107" xfId="0" applyFont="1" applyFill="1" applyBorder="1" applyAlignment="1">
      <alignment vertical="center"/>
    </xf>
    <xf numFmtId="0" fontId="0" fillId="35" borderId="101" xfId="0" applyFont="1" applyFill="1" applyBorder="1" applyAlignment="1">
      <alignment vertical="center"/>
    </xf>
    <xf numFmtId="0" fontId="0" fillId="35" borderId="101" xfId="0" applyFont="1" applyFill="1" applyBorder="1" applyAlignment="1">
      <alignment horizontal="center" vertical="center"/>
    </xf>
    <xf numFmtId="0" fontId="0" fillId="0" borderId="9" xfId="0" applyFont="1" applyBorder="1" applyAlignment="1">
      <alignment vertical="center" wrapText="1"/>
    </xf>
    <xf numFmtId="0" fontId="0" fillId="22" borderId="15" xfId="0" applyFont="1" applyFill="1" applyBorder="1" applyAlignment="1">
      <alignment horizontal="left" vertical="center" wrapText="1"/>
    </xf>
    <xf numFmtId="0" fontId="0" fillId="18" borderId="121" xfId="0" applyFont="1" applyFill="1" applyBorder="1" applyAlignment="1">
      <alignment horizontal="center" vertical="center"/>
    </xf>
    <xf numFmtId="9" fontId="56" fillId="22" borderId="3" xfId="28" applyFont="1" applyFill="1" applyBorder="1" applyAlignment="1">
      <alignment horizontal="center" vertical="center"/>
    </xf>
    <xf numFmtId="0" fontId="0" fillId="0" borderId="3" xfId="0" applyFont="1" applyBorder="1" applyAlignment="1">
      <alignment horizontal="left" vertical="center" wrapText="1"/>
    </xf>
    <xf numFmtId="0" fontId="0" fillId="22" borderId="65" xfId="0" applyFont="1" applyFill="1" applyBorder="1" applyAlignment="1">
      <alignment horizontal="left" vertical="center" wrapText="1"/>
    </xf>
    <xf numFmtId="0" fontId="0" fillId="18" borderId="127" xfId="0" applyFont="1" applyFill="1" applyBorder="1" applyAlignment="1">
      <alignment horizontal="center" vertical="center"/>
    </xf>
    <xf numFmtId="9" fontId="56" fillId="22" borderId="9" xfId="28" applyFont="1" applyFill="1" applyBorder="1" applyAlignment="1">
      <alignment horizontal="center" vertical="center"/>
    </xf>
    <xf numFmtId="0" fontId="0" fillId="22" borderId="9" xfId="0" applyFont="1" applyFill="1" applyBorder="1" applyAlignment="1">
      <alignment horizontal="left" vertical="center" wrapText="1"/>
    </xf>
    <xf numFmtId="0" fontId="0" fillId="0" borderId="9" xfId="0" applyFont="1" applyBorder="1" applyAlignment="1">
      <alignment horizontal="left" vertical="center" wrapText="1"/>
    </xf>
    <xf numFmtId="0" fontId="0" fillId="22" borderId="3" xfId="0" applyFont="1" applyFill="1" applyBorder="1" applyAlignment="1">
      <alignment horizontal="center" vertical="center" wrapText="1"/>
    </xf>
    <xf numFmtId="0" fontId="0" fillId="22" borderId="15" xfId="0" applyFont="1" applyFill="1" applyBorder="1" applyAlignment="1">
      <alignment vertical="center" wrapText="1"/>
    </xf>
    <xf numFmtId="0" fontId="0" fillId="22" borderId="110" xfId="0" applyFont="1" applyFill="1" applyBorder="1" applyAlignment="1">
      <alignment horizontal="center" vertical="center"/>
    </xf>
    <xf numFmtId="0" fontId="0" fillId="22" borderId="111" xfId="0" applyFont="1" applyFill="1" applyBorder="1" applyAlignment="1">
      <alignment horizontal="center" vertical="center"/>
    </xf>
    <xf numFmtId="9" fontId="56" fillId="22" borderId="111" xfId="28" applyFont="1" applyFill="1" applyBorder="1" applyAlignment="1">
      <alignment horizontal="center" vertical="center"/>
    </xf>
    <xf numFmtId="0" fontId="0" fillId="22" borderId="111" xfId="0" applyFont="1" applyFill="1" applyBorder="1" applyAlignment="1">
      <alignment horizontal="left" vertical="center" wrapText="1"/>
    </xf>
    <xf numFmtId="0" fontId="0" fillId="22" borderId="112" xfId="0" applyFont="1" applyFill="1" applyBorder="1" applyAlignment="1">
      <alignment horizontal="left" vertical="center" wrapText="1"/>
    </xf>
    <xf numFmtId="9" fontId="56" fillId="22" borderId="109" xfId="28" applyFont="1" applyFill="1" applyBorder="1" applyAlignment="1">
      <alignment horizontal="center" vertical="center"/>
    </xf>
    <xf numFmtId="0" fontId="0" fillId="22" borderId="121" xfId="0" applyFont="1" applyFill="1" applyBorder="1" applyAlignment="1">
      <alignment horizontal="center" vertical="center"/>
    </xf>
    <xf numFmtId="0" fontId="0" fillId="22" borderId="125" xfId="0" applyFont="1" applyFill="1" applyBorder="1" applyAlignment="1">
      <alignment horizontal="center" vertical="center"/>
    </xf>
    <xf numFmtId="0" fontId="0" fillId="22" borderId="130" xfId="0" applyFont="1" applyFill="1" applyBorder="1" applyAlignment="1">
      <alignment horizontal="center" vertical="center"/>
    </xf>
    <xf numFmtId="0" fontId="0" fillId="22" borderId="132" xfId="0" applyFont="1" applyFill="1" applyBorder="1" applyAlignment="1">
      <alignment horizontal="center" vertical="center"/>
    </xf>
    <xf numFmtId="0" fontId="0" fillId="22" borderId="114" xfId="0" applyFont="1" applyFill="1" applyBorder="1" applyAlignment="1">
      <alignment horizontal="center" vertical="center"/>
    </xf>
    <xf numFmtId="0" fontId="0" fillId="22" borderId="135" xfId="0" applyFont="1" applyFill="1" applyBorder="1" applyAlignment="1">
      <alignment horizontal="center" vertical="center"/>
    </xf>
    <xf numFmtId="0" fontId="0" fillId="18" borderId="165" xfId="0" applyFont="1" applyFill="1" applyBorder="1" applyAlignment="1">
      <alignment horizontal="center" vertical="center"/>
    </xf>
    <xf numFmtId="0" fontId="0" fillId="22" borderId="166" xfId="0" applyFont="1" applyFill="1" applyBorder="1" applyAlignment="1">
      <alignment horizontal="center" vertical="center"/>
    </xf>
    <xf numFmtId="0" fontId="0" fillId="18" borderId="125" xfId="0" applyFont="1" applyFill="1" applyBorder="1" applyAlignment="1">
      <alignment horizontal="center" vertical="center"/>
    </xf>
    <xf numFmtId="0" fontId="0" fillId="22" borderId="167" xfId="0" applyFont="1" applyFill="1" applyBorder="1" applyAlignment="1">
      <alignment horizontal="center" vertical="center"/>
    </xf>
    <xf numFmtId="0" fontId="0" fillId="22" borderId="13" xfId="0" applyFont="1" applyFill="1" applyBorder="1" applyAlignment="1">
      <alignment horizontal="left" vertical="center" wrapText="1"/>
    </xf>
    <xf numFmtId="0" fontId="0" fillId="22" borderId="148" xfId="0" applyFont="1" applyFill="1" applyBorder="1" applyAlignment="1">
      <alignment horizontal="center" vertical="center"/>
    </xf>
    <xf numFmtId="0" fontId="0" fillId="22" borderId="149" xfId="0" applyFont="1" applyFill="1" applyBorder="1" applyAlignment="1">
      <alignment horizontal="center" vertical="center"/>
    </xf>
    <xf numFmtId="0" fontId="0" fillId="22"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22" borderId="151" xfId="0" applyFont="1" applyFill="1" applyBorder="1" applyAlignment="1">
      <alignment horizontal="center" vertical="center"/>
    </xf>
    <xf numFmtId="0" fontId="0" fillId="22" borderId="168" xfId="0" applyFont="1" applyFill="1" applyBorder="1" applyAlignment="1">
      <alignment horizontal="center" vertical="center"/>
    </xf>
    <xf numFmtId="9" fontId="56" fillId="0" borderId="0" xfId="28" applyFont="1" applyAlignment="1">
      <alignment horizontal="center" vertical="center"/>
    </xf>
    <xf numFmtId="0" fontId="0" fillId="0" borderId="0" xfId="0" applyFont="1" applyAlignment="1">
      <alignment horizontal="left" vertical="center" wrapText="1"/>
    </xf>
    <xf numFmtId="9" fontId="0" fillId="22" borderId="3" xfId="0" applyNumberFormat="1" applyFont="1" applyFill="1" applyBorder="1" applyAlignment="1">
      <alignment horizontal="center" vertical="center"/>
    </xf>
    <xf numFmtId="0" fontId="0" fillId="22" borderId="3" xfId="0" applyFont="1" applyFill="1" applyBorder="1" applyAlignment="1">
      <alignment horizontal="center" vertical="center"/>
    </xf>
    <xf numFmtId="0" fontId="0" fillId="25" borderId="0" xfId="0" applyFont="1" applyFill="1"/>
    <xf numFmtId="0" fontId="0" fillId="22" borderId="169" xfId="0" applyFont="1" applyFill="1" applyBorder="1" applyAlignment="1">
      <alignment horizontal="center" vertical="center"/>
    </xf>
    <xf numFmtId="0" fontId="86" fillId="13" borderId="0" xfId="0" applyFont="1" applyFill="1" applyAlignment="1">
      <alignment horizontal="left" vertical="center" wrapText="1"/>
    </xf>
    <xf numFmtId="0" fontId="86" fillId="25" borderId="0" xfId="0" applyFont="1" applyFill="1"/>
    <xf numFmtId="9" fontId="0" fillId="25" borderId="0" xfId="0" applyNumberFormat="1" applyFont="1" applyFill="1" applyAlignment="1">
      <alignment horizontal="center"/>
    </xf>
    <xf numFmtId="0" fontId="0" fillId="22" borderId="170" xfId="0" applyFont="1" applyFill="1" applyBorder="1" applyAlignment="1">
      <alignment horizontal="center" vertical="center"/>
    </xf>
    <xf numFmtId="166" fontId="86" fillId="25" borderId="0" xfId="28" applyNumberFormat="1" applyFont="1" applyFill="1"/>
    <xf numFmtId="0" fontId="0" fillId="22" borderId="171" xfId="0" applyFont="1" applyFill="1" applyBorder="1" applyAlignment="1">
      <alignment horizontal="center" vertical="center"/>
    </xf>
    <xf numFmtId="0" fontId="0" fillId="0" borderId="111" xfId="0" applyFont="1" applyBorder="1"/>
    <xf numFmtId="0" fontId="0" fillId="0" borderId="113" xfId="0" applyFont="1" applyBorder="1"/>
    <xf numFmtId="9" fontId="68" fillId="8" borderId="3" xfId="28" applyFont="1" applyFill="1" applyBorder="1" applyAlignment="1">
      <alignment horizontal="center" vertical="center" wrapText="1"/>
    </xf>
    <xf numFmtId="0" fontId="0" fillId="22" borderId="146" xfId="0" applyFont="1" applyFill="1" applyBorder="1"/>
    <xf numFmtId="0" fontId="0" fillId="22" borderId="144" xfId="0" applyFont="1" applyFill="1" applyBorder="1"/>
    <xf numFmtId="0" fontId="0" fillId="22" borderId="144" xfId="0" applyFont="1" applyFill="1" applyBorder="1" applyAlignment="1">
      <alignment horizontal="center" vertical="center"/>
    </xf>
    <xf numFmtId="0" fontId="0" fillId="22" borderId="115" xfId="0" applyFont="1" applyFill="1" applyBorder="1" applyAlignment="1">
      <alignment horizontal="center" vertical="center"/>
    </xf>
    <xf numFmtId="9" fontId="56" fillId="22" borderId="115" xfId="28" applyFont="1" applyFill="1" applyBorder="1" applyAlignment="1">
      <alignment horizontal="center" vertical="center"/>
    </xf>
    <xf numFmtId="0" fontId="0" fillId="22" borderId="115" xfId="0" applyFont="1" applyFill="1" applyBorder="1" applyAlignment="1">
      <alignment horizontal="left" vertical="center" wrapText="1"/>
    </xf>
    <xf numFmtId="1" fontId="112" fillId="22" borderId="130" xfId="0" applyNumberFormat="1" applyFont="1" applyFill="1" applyBorder="1" applyAlignment="1">
      <alignment horizontal="center" vertical="center" wrapText="1"/>
    </xf>
    <xf numFmtId="9" fontId="0" fillId="22" borderId="3" xfId="0" applyNumberFormat="1" applyFont="1" applyFill="1" applyBorder="1" applyAlignment="1">
      <alignment horizontal="center"/>
    </xf>
    <xf numFmtId="0" fontId="0" fillId="22" borderId="109" xfId="0" applyFont="1" applyFill="1" applyBorder="1" applyAlignment="1">
      <alignment vertical="center"/>
    </xf>
    <xf numFmtId="0" fontId="0" fillId="22" borderId="121" xfId="0" applyFont="1" applyFill="1" applyBorder="1" applyAlignment="1">
      <alignment vertical="center"/>
    </xf>
    <xf numFmtId="0" fontId="0" fillId="22" borderId="172" xfId="0" applyFont="1" applyFill="1" applyBorder="1" applyAlignment="1">
      <alignment vertical="center"/>
    </xf>
    <xf numFmtId="0" fontId="0" fillId="22" borderId="127" xfId="0" applyFont="1" applyFill="1" applyBorder="1" applyAlignment="1">
      <alignment vertical="center"/>
    </xf>
    <xf numFmtId="0" fontId="0" fillId="22" borderId="153" xfId="0" applyFont="1" applyFill="1" applyBorder="1" applyAlignment="1">
      <alignment vertical="center"/>
    </xf>
    <xf numFmtId="0" fontId="0" fillId="22" borderId="151" xfId="0" applyFont="1" applyFill="1" applyBorder="1" applyAlignment="1">
      <alignment vertical="center"/>
    </xf>
    <xf numFmtId="0" fontId="0" fillId="22" borderId="125" xfId="0" applyFont="1" applyFill="1" applyBorder="1" applyAlignment="1">
      <alignment vertical="center"/>
    </xf>
    <xf numFmtId="0" fontId="0" fillId="22" borderId="168" xfId="0" applyFont="1" applyFill="1" applyBorder="1" applyAlignment="1">
      <alignment vertical="center"/>
    </xf>
    <xf numFmtId="0" fontId="0" fillId="22" borderId="130" xfId="0" applyFont="1" applyFill="1" applyBorder="1" applyAlignment="1">
      <alignment vertical="center"/>
    </xf>
    <xf numFmtId="0" fontId="0" fillId="22" borderId="166" xfId="0" applyFont="1" applyFill="1" applyBorder="1" applyAlignment="1">
      <alignment vertical="center"/>
    </xf>
    <xf numFmtId="0" fontId="0" fillId="0" borderId="133" xfId="0" applyFont="1" applyBorder="1" applyAlignment="1">
      <alignment vertical="center"/>
    </xf>
    <xf numFmtId="0" fontId="0" fillId="0" borderId="173" xfId="0" applyFont="1" applyBorder="1" applyAlignment="1">
      <alignment vertical="center"/>
    </xf>
    <xf numFmtId="0" fontId="0" fillId="0" borderId="135" xfId="0" applyFont="1" applyBorder="1" applyAlignment="1">
      <alignment vertical="center"/>
    </xf>
    <xf numFmtId="0" fontId="0" fillId="0" borderId="167" xfId="0" applyFont="1" applyBorder="1" applyAlignment="1">
      <alignment vertical="center"/>
    </xf>
    <xf numFmtId="0" fontId="0" fillId="0" borderId="130" xfId="0" applyFont="1" applyBorder="1" applyAlignment="1">
      <alignment vertical="center"/>
    </xf>
    <xf numFmtId="0" fontId="0" fillId="0" borderId="166" xfId="0" applyFont="1" applyBorder="1" applyAlignment="1">
      <alignment vertical="center"/>
    </xf>
    <xf numFmtId="0" fontId="0" fillId="22" borderId="146" xfId="0" applyFont="1" applyFill="1" applyBorder="1" applyAlignment="1">
      <alignment vertical="center"/>
    </xf>
    <xf numFmtId="0" fontId="0" fillId="22" borderId="144" xfId="0" applyFont="1" applyFill="1" applyBorder="1" applyAlignment="1">
      <alignment vertical="center"/>
    </xf>
    <xf numFmtId="0" fontId="68" fillId="0" borderId="12" xfId="7" applyFont="1" applyFill="1" applyBorder="1" applyAlignment="1">
      <alignment vertical="center" wrapText="1"/>
    </xf>
    <xf numFmtId="0" fontId="0" fillId="0" borderId="12" xfId="0" applyFont="1" applyFill="1" applyBorder="1"/>
    <xf numFmtId="9" fontId="56" fillId="0" borderId="0" xfId="28" applyFont="1" applyFill="1" applyAlignment="1">
      <alignment horizontal="center" vertical="center"/>
    </xf>
    <xf numFmtId="0" fontId="0" fillId="0" borderId="0" xfId="0" applyFont="1" applyFill="1" applyAlignment="1">
      <alignment horizontal="left" vertical="center" wrapText="1"/>
    </xf>
    <xf numFmtId="0" fontId="0" fillId="0" borderId="0" xfId="0" applyFont="1" applyFill="1"/>
    <xf numFmtId="0" fontId="0" fillId="35" borderId="110" xfId="0" applyFont="1" applyFill="1" applyBorder="1" applyAlignment="1">
      <alignment horizontal="center" vertical="center"/>
    </xf>
    <xf numFmtId="0" fontId="0" fillId="35" borderId="111" xfId="0" applyFont="1" applyFill="1" applyBorder="1" applyAlignment="1">
      <alignment horizontal="center" vertical="center"/>
    </xf>
    <xf numFmtId="0" fontId="0" fillId="35" borderId="160" xfId="0" applyFont="1" applyFill="1" applyBorder="1" applyAlignment="1">
      <alignment horizontal="center" vertical="center"/>
    </xf>
    <xf numFmtId="0" fontId="0" fillId="35" borderId="109" xfId="0" applyFont="1" applyFill="1" applyBorder="1" applyAlignment="1">
      <alignment horizontal="center" vertical="center"/>
    </xf>
    <xf numFmtId="0" fontId="0" fillId="35" borderId="109" xfId="0" applyFont="1" applyFill="1" applyBorder="1" applyAlignment="1">
      <alignment vertical="center"/>
    </xf>
    <xf numFmtId="0" fontId="0" fillId="35" borderId="150" xfId="0" applyFont="1" applyFill="1" applyBorder="1" applyAlignment="1">
      <alignment horizontal="center" vertical="center"/>
    </xf>
    <xf numFmtId="0" fontId="0" fillId="35" borderId="121" xfId="0" applyFont="1" applyFill="1" applyBorder="1" applyAlignment="1">
      <alignment horizontal="center" vertical="center"/>
    </xf>
    <xf numFmtId="0" fontId="0" fillId="35" borderId="121" xfId="0" applyFont="1" applyFill="1" applyBorder="1" applyAlignment="1">
      <alignment vertical="center"/>
    </xf>
    <xf numFmtId="0" fontId="0" fillId="35" borderId="127" xfId="0" applyFont="1" applyFill="1" applyBorder="1" applyAlignment="1">
      <alignment vertical="center"/>
    </xf>
    <xf numFmtId="0" fontId="0" fillId="35" borderId="160" xfId="0" applyFont="1" applyFill="1" applyBorder="1" applyAlignment="1">
      <alignment vertical="center"/>
    </xf>
    <xf numFmtId="0" fontId="0" fillId="35" borderId="152" xfId="0" applyFont="1" applyFill="1" applyBorder="1" applyAlignment="1">
      <alignment vertical="center"/>
    </xf>
    <xf numFmtId="0" fontId="0" fillId="35" borderId="129" xfId="0" applyFont="1" applyFill="1" applyBorder="1" applyAlignment="1">
      <alignment horizontal="center" vertical="center"/>
    </xf>
    <xf numFmtId="0" fontId="0" fillId="35" borderId="130" xfId="0" applyFont="1" applyFill="1" applyBorder="1" applyAlignment="1">
      <alignment horizontal="center" vertical="center"/>
    </xf>
    <xf numFmtId="0" fontId="0" fillId="35" borderId="130" xfId="0" applyFont="1" applyFill="1" applyBorder="1" applyAlignment="1">
      <alignment vertical="center"/>
    </xf>
    <xf numFmtId="0" fontId="0" fillId="35" borderId="132" xfId="0" applyFont="1" applyFill="1" applyBorder="1" applyAlignment="1">
      <alignment horizontal="center" vertical="center"/>
    </xf>
    <xf numFmtId="0" fontId="0" fillId="35" borderId="133" xfId="0" applyFont="1" applyFill="1" applyBorder="1" applyAlignment="1">
      <alignment horizontal="center" vertical="center"/>
    </xf>
    <xf numFmtId="0" fontId="0" fillId="35" borderId="114" xfId="0" applyFont="1" applyFill="1" applyBorder="1" applyAlignment="1">
      <alignment horizontal="center" vertical="center"/>
    </xf>
    <xf numFmtId="0" fontId="0" fillId="35" borderId="135" xfId="0" applyFont="1" applyFill="1" applyBorder="1" applyAlignment="1">
      <alignment horizontal="center" vertical="center"/>
    </xf>
    <xf numFmtId="0" fontId="0" fillId="35" borderId="114" xfId="0" applyFont="1" applyFill="1" applyBorder="1" applyAlignment="1">
      <alignment vertical="center"/>
    </xf>
    <xf numFmtId="0" fontId="0" fillId="35" borderId="135" xfId="0" applyFont="1" applyFill="1" applyBorder="1" applyAlignment="1">
      <alignment vertical="center"/>
    </xf>
    <xf numFmtId="0" fontId="0" fillId="35" borderId="161" xfId="0" applyFont="1" applyFill="1" applyBorder="1" applyAlignment="1">
      <alignment horizontal="center" vertical="center"/>
    </xf>
    <xf numFmtId="0" fontId="0" fillId="35" borderId="125" xfId="0" applyFont="1" applyFill="1" applyBorder="1" applyAlignment="1">
      <alignment horizontal="center" vertical="center"/>
    </xf>
    <xf numFmtId="0" fontId="0" fillId="35" borderId="125" xfId="0" applyFont="1" applyFill="1" applyBorder="1" applyAlignment="1">
      <alignment vertical="center"/>
    </xf>
    <xf numFmtId="0" fontId="0" fillId="35" borderId="129" xfId="0" applyFont="1" applyFill="1" applyBorder="1" applyAlignment="1">
      <alignment vertical="center"/>
    </xf>
    <xf numFmtId="0" fontId="0" fillId="35" borderId="148" xfId="0" applyFont="1" applyFill="1" applyBorder="1" applyAlignment="1">
      <alignment horizontal="center" vertical="center"/>
    </xf>
    <xf numFmtId="0" fontId="0" fillId="35" borderId="147" xfId="0" applyFont="1" applyFill="1" applyBorder="1" applyAlignment="1">
      <alignment vertical="center"/>
    </xf>
    <xf numFmtId="0" fontId="0" fillId="35" borderId="148" xfId="0" applyFont="1" applyFill="1" applyBorder="1" applyAlignment="1">
      <alignment vertical="center"/>
    </xf>
    <xf numFmtId="0" fontId="0" fillId="35" borderId="150" xfId="0" applyFont="1" applyFill="1" applyBorder="1" applyAlignment="1">
      <alignment vertical="center"/>
    </xf>
    <xf numFmtId="0" fontId="0" fillId="35" borderId="161" xfId="0" applyFont="1" applyFill="1" applyBorder="1" applyAlignment="1">
      <alignment vertical="center"/>
    </xf>
    <xf numFmtId="0" fontId="0" fillId="0" borderId="3" xfId="0" applyFont="1" applyFill="1" applyBorder="1" applyAlignment="1">
      <alignment horizontal="left" vertical="center" wrapText="1"/>
    </xf>
    <xf numFmtId="9" fontId="0" fillId="0" borderId="163" xfId="0" applyNumberFormat="1"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22" borderId="134" xfId="0" applyFont="1" applyFill="1" applyBorder="1" applyAlignment="1">
      <alignment horizontal="center" vertical="center"/>
    </xf>
    <xf numFmtId="9" fontId="0" fillId="0" borderId="164" xfId="0" applyNumberFormat="1" applyFont="1" applyFill="1" applyBorder="1" applyAlignment="1">
      <alignment horizontal="center" vertical="center" wrapText="1"/>
    </xf>
    <xf numFmtId="9" fontId="0" fillId="0" borderId="162" xfId="0" applyNumberFormat="1" applyFont="1" applyFill="1" applyBorder="1" applyAlignment="1">
      <alignment horizontal="center" vertical="center" wrapText="1"/>
    </xf>
    <xf numFmtId="9" fontId="0" fillId="0" borderId="174" xfId="0" applyNumberFormat="1" applyFont="1" applyFill="1" applyBorder="1" applyAlignment="1">
      <alignment horizontal="center" vertical="center" wrapText="1"/>
    </xf>
    <xf numFmtId="9" fontId="0" fillId="0" borderId="175" xfId="0" applyNumberFormat="1" applyFont="1" applyFill="1" applyBorder="1" applyAlignment="1">
      <alignment horizontal="center" vertical="center" wrapText="1"/>
    </xf>
    <xf numFmtId="0" fontId="0" fillId="22" borderId="137" xfId="0" applyFont="1" applyFill="1" applyBorder="1" applyAlignment="1">
      <alignment horizontal="center" vertical="center"/>
    </xf>
    <xf numFmtId="9" fontId="0" fillId="0" borderId="176" xfId="0" applyNumberFormat="1" applyFont="1" applyFill="1" applyBorder="1" applyAlignment="1">
      <alignment horizontal="center" vertical="center" wrapText="1"/>
    </xf>
    <xf numFmtId="9" fontId="0" fillId="0" borderId="177" xfId="0" applyNumberFormat="1" applyFont="1" applyFill="1" applyBorder="1" applyAlignment="1">
      <alignment horizontal="center" vertical="center" wrapText="1"/>
    </xf>
    <xf numFmtId="0" fontId="0" fillId="22" borderId="146" xfId="0" applyFont="1" applyFill="1" applyBorder="1" applyAlignment="1">
      <alignment horizontal="center" vertical="center"/>
    </xf>
    <xf numFmtId="0" fontId="0" fillId="22" borderId="178" xfId="0" applyFont="1" applyFill="1" applyBorder="1" applyAlignment="1">
      <alignment horizontal="center" vertical="center"/>
    </xf>
    <xf numFmtId="0" fontId="0" fillId="22" borderId="179" xfId="0" applyFont="1" applyFill="1" applyBorder="1" applyAlignment="1">
      <alignment horizontal="center" vertical="center"/>
    </xf>
    <xf numFmtId="9" fontId="0" fillId="22" borderId="179" xfId="0" applyNumberFormat="1" applyFont="1" applyFill="1" applyBorder="1" applyAlignment="1">
      <alignment horizontal="center" vertical="center"/>
    </xf>
    <xf numFmtId="0" fontId="0" fillId="22" borderId="180" xfId="0" applyFont="1" applyFill="1" applyBorder="1" applyAlignment="1">
      <alignment horizontal="center" vertical="center"/>
    </xf>
    <xf numFmtId="0" fontId="0" fillId="22" borderId="181" xfId="0" applyFont="1" applyFill="1" applyBorder="1" applyAlignment="1">
      <alignment horizontal="center" vertical="center"/>
    </xf>
    <xf numFmtId="0" fontId="0" fillId="22" borderId="112" xfId="0" applyFont="1" applyFill="1" applyBorder="1" applyAlignment="1">
      <alignment horizontal="center" vertical="center"/>
    </xf>
    <xf numFmtId="166" fontId="86" fillId="29" borderId="179" xfId="28" applyNumberFormat="1" applyFont="1" applyFill="1" applyBorder="1" applyAlignment="1">
      <alignment horizontal="center" vertical="center"/>
    </xf>
    <xf numFmtId="0" fontId="0" fillId="35" borderId="182" xfId="0" applyFont="1" applyFill="1" applyBorder="1" applyAlignment="1">
      <alignment horizontal="center" vertical="center"/>
    </xf>
    <xf numFmtId="0" fontId="0" fillId="35" borderId="132" xfId="0" applyFont="1" applyFill="1" applyBorder="1" applyAlignment="1">
      <alignment vertical="center"/>
    </xf>
    <xf numFmtId="0" fontId="0" fillId="35" borderId="133" xfId="0" applyFont="1" applyFill="1" applyBorder="1" applyAlignment="1">
      <alignment vertical="center"/>
    </xf>
    <xf numFmtId="0" fontId="0" fillId="35" borderId="134" xfId="0" applyFont="1" applyFill="1" applyBorder="1" applyAlignment="1">
      <alignment horizontal="center" vertical="center"/>
    </xf>
    <xf numFmtId="0" fontId="0" fillId="35" borderId="137" xfId="0" applyFont="1" applyFill="1" applyBorder="1" applyAlignment="1">
      <alignment horizontal="center" vertical="center"/>
    </xf>
    <xf numFmtId="0" fontId="0" fillId="35" borderId="138" xfId="0" applyFont="1" applyFill="1" applyBorder="1" applyAlignment="1">
      <alignment horizontal="center" vertical="center"/>
    </xf>
    <xf numFmtId="0" fontId="0" fillId="35" borderId="138" xfId="0" applyFont="1" applyFill="1" applyBorder="1" applyAlignment="1">
      <alignment vertical="center"/>
    </xf>
    <xf numFmtId="0" fontId="0" fillId="22" borderId="183" xfId="0" applyFont="1" applyFill="1" applyBorder="1" applyAlignment="1">
      <alignment horizontal="center" vertical="center"/>
    </xf>
    <xf numFmtId="9" fontId="0" fillId="22" borderId="183" xfId="0" applyNumberFormat="1" applyFont="1" applyFill="1" applyBorder="1" applyAlignment="1">
      <alignment horizontal="center" vertical="center"/>
    </xf>
    <xf numFmtId="9" fontId="0" fillId="0" borderId="3" xfId="0" applyNumberFormat="1" applyFont="1" applyFill="1" applyBorder="1" applyAlignment="1">
      <alignment horizontal="center" vertical="center" wrapText="1"/>
    </xf>
    <xf numFmtId="166" fontId="86" fillId="13" borderId="0" xfId="28" applyNumberFormat="1" applyFont="1" applyFill="1" applyAlignment="1">
      <alignment horizontal="left"/>
    </xf>
    <xf numFmtId="0" fontId="86" fillId="13" borderId="0" xfId="0" applyFont="1" applyFill="1" applyAlignment="1">
      <alignment horizontal="left" vertical="center"/>
    </xf>
    <xf numFmtId="166" fontId="56" fillId="0" borderId="0" xfId="28" applyNumberFormat="1" applyFont="1" applyAlignment="1">
      <alignment horizontal="center"/>
    </xf>
    <xf numFmtId="0" fontId="0" fillId="0" borderId="0" xfId="0" applyFont="1" applyAlignment="1">
      <alignment horizontal="left" vertical="center"/>
    </xf>
    <xf numFmtId="0" fontId="0" fillId="22" borderId="35" xfId="0" applyFont="1" applyFill="1" applyBorder="1" applyAlignment="1">
      <alignment horizontal="center" vertical="center" wrapText="1"/>
    </xf>
    <xf numFmtId="9" fontId="56" fillId="0" borderId="3" xfId="28" applyFont="1" applyBorder="1" applyAlignment="1">
      <alignment horizontal="center" vertical="center"/>
    </xf>
    <xf numFmtId="0" fontId="0" fillId="22" borderId="16" xfId="0" applyFont="1" applyFill="1" applyBorder="1" applyAlignment="1">
      <alignment horizontal="center" vertical="center" wrapText="1"/>
    </xf>
    <xf numFmtId="9" fontId="0" fillId="0" borderId="0" xfId="0" applyNumberFormat="1" applyFont="1" applyAlignment="1">
      <alignment horizontal="center" vertical="center"/>
    </xf>
    <xf numFmtId="0" fontId="115" fillId="0" borderId="3" xfId="0" applyFont="1" applyFill="1" applyBorder="1" applyAlignment="1">
      <alignment horizontal="left" vertical="center" wrapText="1" readingOrder="1"/>
    </xf>
    <xf numFmtId="15" fontId="0" fillId="22" borderId="130" xfId="0" applyNumberFormat="1" applyFont="1" applyFill="1" applyBorder="1" applyAlignment="1">
      <alignment horizontal="center" vertical="center" wrapText="1"/>
    </xf>
    <xf numFmtId="15" fontId="0" fillId="22" borderId="133" xfId="0" applyNumberFormat="1" applyFont="1" applyFill="1" applyBorder="1" applyAlignment="1">
      <alignment horizontal="center" vertical="center" wrapText="1"/>
    </xf>
    <xf numFmtId="0" fontId="0" fillId="0" borderId="164" xfId="0" applyFont="1" applyBorder="1" applyAlignment="1">
      <alignment vertical="center" wrapText="1"/>
    </xf>
    <xf numFmtId="15" fontId="0" fillId="22" borderId="135" xfId="0" applyNumberFormat="1" applyFont="1" applyFill="1" applyBorder="1" applyAlignment="1">
      <alignment horizontal="center" vertical="center" wrapText="1"/>
    </xf>
    <xf numFmtId="0" fontId="115" fillId="22" borderId="3" xfId="0" applyFont="1" applyFill="1" applyBorder="1" applyAlignment="1">
      <alignment vertical="center" wrapText="1"/>
    </xf>
    <xf numFmtId="0" fontId="0" fillId="12" borderId="133" xfId="0" applyFont="1" applyFill="1" applyBorder="1" applyAlignment="1">
      <alignment horizontal="center" vertical="center"/>
    </xf>
    <xf numFmtId="0" fontId="115" fillId="22" borderId="3" xfId="0" applyFont="1" applyFill="1" applyBorder="1" applyAlignment="1">
      <alignment horizontal="left" vertical="center" wrapText="1" readingOrder="1"/>
    </xf>
    <xf numFmtId="0" fontId="0" fillId="22" borderId="115" xfId="0" applyFont="1" applyFill="1" applyBorder="1"/>
    <xf numFmtId="0" fontId="0" fillId="22" borderId="3" xfId="0" applyFont="1" applyFill="1" applyBorder="1" applyAlignment="1">
      <alignment horizontal="left" vertical="center"/>
    </xf>
    <xf numFmtId="9" fontId="56" fillId="13" borderId="0" xfId="28" applyFont="1" applyFill="1" applyAlignment="1">
      <alignment horizontal="center"/>
    </xf>
    <xf numFmtId="9" fontId="86" fillId="13" borderId="0" xfId="28" applyFont="1" applyFill="1" applyAlignment="1">
      <alignment horizontal="left" vertical="center"/>
    </xf>
    <xf numFmtId="0" fontId="0" fillId="22" borderId="178" xfId="0" applyFont="1" applyFill="1" applyBorder="1"/>
    <xf numFmtId="0" fontId="0" fillId="22" borderId="113" xfId="0" applyFont="1" applyFill="1" applyBorder="1" applyAlignment="1">
      <alignment horizontal="center" vertical="center"/>
    </xf>
    <xf numFmtId="9" fontId="0" fillId="0" borderId="0" xfId="0" applyNumberFormat="1" applyFont="1" applyAlignment="1">
      <alignment horizontal="center"/>
    </xf>
    <xf numFmtId="0" fontId="0" fillId="0" borderId="162" xfId="0" applyFont="1" applyBorder="1" applyAlignment="1">
      <alignment vertical="center" wrapText="1"/>
    </xf>
    <xf numFmtId="0" fontId="0" fillId="0" borderId="163" xfId="0" applyFont="1" applyBorder="1" applyAlignment="1">
      <alignment vertical="center" wrapText="1"/>
    </xf>
    <xf numFmtId="0" fontId="0" fillId="35" borderId="152" xfId="0" applyFont="1" applyFill="1" applyBorder="1" applyAlignment="1">
      <alignment horizontal="center" vertical="center"/>
    </xf>
    <xf numFmtId="0" fontId="0" fillId="35" borderId="127" xfId="0" applyFont="1" applyFill="1" applyBorder="1" applyAlignment="1">
      <alignment horizontal="center" vertical="center"/>
    </xf>
    <xf numFmtId="9" fontId="0" fillId="13" borderId="156" xfId="0" applyNumberFormat="1" applyFont="1" applyFill="1" applyBorder="1" applyAlignment="1">
      <alignment horizontal="center" vertical="center"/>
    </xf>
    <xf numFmtId="9" fontId="0" fillId="13" borderId="154" xfId="0" applyNumberFormat="1" applyFont="1" applyFill="1" applyBorder="1" applyAlignment="1">
      <alignment horizontal="center" vertical="center"/>
    </xf>
    <xf numFmtId="0" fontId="0" fillId="0" borderId="155" xfId="0" applyFont="1" applyBorder="1" applyAlignment="1">
      <alignment horizontal="center" vertical="center"/>
    </xf>
    <xf numFmtId="9" fontId="0" fillId="0" borderId="156" xfId="0" applyNumberFormat="1" applyFont="1" applyBorder="1" applyAlignment="1">
      <alignment horizontal="center" vertical="center"/>
    </xf>
    <xf numFmtId="9" fontId="0" fillId="0" borderId="154" xfId="0" applyNumberFormat="1" applyFont="1" applyBorder="1" applyAlignment="1">
      <alignment horizontal="center" vertical="center"/>
    </xf>
    <xf numFmtId="9" fontId="0" fillId="0" borderId="155" xfId="0" applyNumberFormat="1" applyFont="1" applyBorder="1" applyAlignment="1">
      <alignment horizontal="center" vertical="center"/>
    </xf>
    <xf numFmtId="9" fontId="0" fillId="0" borderId="184" xfId="0" applyNumberFormat="1" applyFont="1" applyBorder="1" applyAlignment="1">
      <alignment horizontal="center" vertical="center"/>
    </xf>
    <xf numFmtId="0" fontId="0" fillId="35" borderId="118" xfId="0" applyFont="1" applyFill="1" applyBorder="1" applyAlignment="1">
      <alignment horizontal="center" vertical="center"/>
    </xf>
    <xf numFmtId="0" fontId="0" fillId="35" borderId="122" xfId="0" applyFont="1" applyFill="1" applyBorder="1" applyAlignment="1">
      <alignment horizontal="center" vertical="center"/>
    </xf>
    <xf numFmtId="0" fontId="0" fillId="35" borderId="128" xfId="0" applyFont="1" applyFill="1" applyBorder="1" applyAlignment="1">
      <alignment horizontal="center" vertical="center"/>
    </xf>
    <xf numFmtId="0" fontId="0" fillId="35" borderId="131" xfId="0" applyFont="1" applyFill="1" applyBorder="1" applyAlignment="1">
      <alignment horizontal="center" vertical="center"/>
    </xf>
    <xf numFmtId="0" fontId="0" fillId="35" borderId="136" xfId="0" applyFont="1" applyFill="1" applyBorder="1" applyAlignment="1">
      <alignment vertical="center"/>
    </xf>
    <xf numFmtId="0" fontId="0" fillId="35" borderId="136" xfId="0" applyFont="1" applyFill="1" applyBorder="1" applyAlignment="1">
      <alignment horizontal="center" vertical="center"/>
    </xf>
    <xf numFmtId="0" fontId="68" fillId="0" borderId="0" xfId="7" applyFont="1" applyFill="1" applyBorder="1" applyAlignment="1">
      <alignment vertical="center" wrapText="1"/>
    </xf>
    <xf numFmtId="0" fontId="59" fillId="0" borderId="0" xfId="7" applyFont="1" applyFill="1" applyBorder="1" applyAlignment="1">
      <alignment vertical="center" wrapText="1"/>
    </xf>
    <xf numFmtId="0" fontId="68" fillId="0" borderId="0" xfId="6" applyFont="1" applyFill="1" applyBorder="1" applyAlignment="1">
      <alignment horizontal="center" vertical="center" wrapText="1"/>
    </xf>
    <xf numFmtId="0" fontId="0" fillId="0" borderId="0" xfId="0" applyFont="1" applyFill="1" applyBorder="1"/>
    <xf numFmtId="9" fontId="0" fillId="13" borderId="0" xfId="0" applyNumberFormat="1" applyFont="1" applyFill="1"/>
    <xf numFmtId="0" fontId="86" fillId="13" borderId="0" xfId="0" applyFont="1" applyFill="1" applyBorder="1" applyAlignment="1">
      <alignment horizontal="left" vertical="center"/>
    </xf>
    <xf numFmtId="0" fontId="86" fillId="13" borderId="0" xfId="0" applyFont="1" applyFill="1" applyBorder="1" applyAlignment="1">
      <alignment vertical="center"/>
    </xf>
    <xf numFmtId="9" fontId="86" fillId="13" borderId="0" xfId="28" applyFont="1" applyFill="1" applyBorder="1" applyAlignment="1">
      <alignment horizontal="left" vertical="center"/>
    </xf>
    <xf numFmtId="0" fontId="0" fillId="22" borderId="111" xfId="0" applyFont="1" applyFill="1" applyBorder="1"/>
    <xf numFmtId="0" fontId="0" fillId="22" borderId="113" xfId="0" applyFont="1" applyFill="1" applyBorder="1"/>
    <xf numFmtId="0" fontId="0" fillId="0" borderId="15" xfId="0" applyFont="1" applyBorder="1" applyAlignment="1">
      <alignment horizontal="left"/>
    </xf>
    <xf numFmtId="0" fontId="86" fillId="22" borderId="113" xfId="0" applyFont="1" applyFill="1" applyBorder="1"/>
    <xf numFmtId="0" fontId="86" fillId="13" borderId="113" xfId="0" applyFont="1" applyFill="1" applyBorder="1"/>
    <xf numFmtId="166" fontId="86" fillId="22" borderId="113" xfId="28" applyNumberFormat="1" applyFont="1" applyFill="1" applyBorder="1"/>
    <xf numFmtId="10" fontId="86" fillId="22" borderId="113" xfId="0" applyNumberFormat="1" applyFont="1" applyFill="1" applyBorder="1"/>
    <xf numFmtId="166" fontId="86" fillId="13" borderId="113" xfId="28" applyNumberFormat="1" applyFont="1" applyFill="1" applyBorder="1"/>
    <xf numFmtId="0" fontId="0" fillId="22" borderId="110" xfId="0" applyFont="1" applyFill="1" applyBorder="1"/>
    <xf numFmtId="9" fontId="0" fillId="22" borderId="111" xfId="0" applyNumberFormat="1" applyFont="1" applyFill="1" applyBorder="1"/>
    <xf numFmtId="0" fontId="0" fillId="22" borderId="15" xfId="0" applyFont="1" applyFill="1" applyBorder="1" applyAlignment="1">
      <alignment horizontal="left" vertical="top" wrapText="1"/>
    </xf>
    <xf numFmtId="0" fontId="0" fillId="35" borderId="160" xfId="0" applyFont="1" applyFill="1" applyBorder="1"/>
    <xf numFmtId="0" fontId="0" fillId="35" borderId="109" xfId="0" applyFont="1" applyFill="1" applyBorder="1"/>
    <xf numFmtId="9" fontId="56" fillId="35" borderId="109" xfId="28" applyNumberFormat="1" applyFont="1" applyFill="1" applyBorder="1" applyAlignment="1">
      <alignment horizontal="center" vertical="center"/>
    </xf>
    <xf numFmtId="0" fontId="0" fillId="35" borderId="118" xfId="0" applyFont="1" applyFill="1" applyBorder="1"/>
    <xf numFmtId="0" fontId="0" fillId="35" borderId="150" xfId="0" applyFont="1" applyFill="1" applyBorder="1"/>
    <xf numFmtId="0" fontId="0" fillId="35" borderId="121" xfId="0" applyFont="1" applyFill="1" applyBorder="1"/>
    <xf numFmtId="9" fontId="56" fillId="35" borderId="121" xfId="28" applyNumberFormat="1" applyFont="1" applyFill="1" applyBorder="1" applyAlignment="1">
      <alignment horizontal="center" vertical="center"/>
    </xf>
    <xf numFmtId="0" fontId="0" fillId="35" borderId="122" xfId="0" applyFont="1" applyFill="1" applyBorder="1"/>
    <xf numFmtId="0" fontId="0" fillId="35" borderId="161" xfId="0" applyFont="1" applyFill="1" applyBorder="1"/>
    <xf numFmtId="0" fontId="0" fillId="35" borderId="125" xfId="0" applyFont="1" applyFill="1" applyBorder="1"/>
    <xf numFmtId="9" fontId="56" fillId="35" borderId="125" xfId="28" applyNumberFormat="1" applyFont="1" applyFill="1" applyBorder="1" applyAlignment="1">
      <alignment horizontal="center" vertical="center"/>
    </xf>
    <xf numFmtId="0" fontId="0" fillId="35" borderId="126" xfId="0" applyFont="1" applyFill="1" applyBorder="1"/>
    <xf numFmtId="0" fontId="115" fillId="22" borderId="15" xfId="0" applyFont="1" applyFill="1" applyBorder="1" applyAlignment="1">
      <alignment horizontal="left" vertical="center" wrapText="1" readingOrder="1"/>
    </xf>
    <xf numFmtId="0" fontId="0" fillId="22" borderId="131" xfId="0" applyFont="1" applyFill="1" applyBorder="1" applyAlignment="1">
      <alignment horizontal="center" vertical="center"/>
    </xf>
    <xf numFmtId="15" fontId="0" fillId="27" borderId="3" xfId="0" applyNumberFormat="1" applyFont="1" applyFill="1" applyBorder="1" applyAlignment="1">
      <alignment horizontal="center" vertical="center" wrapText="1"/>
    </xf>
    <xf numFmtId="0" fontId="0" fillId="22" borderId="136" xfId="0" applyFont="1" applyFill="1" applyBorder="1" applyAlignment="1">
      <alignment horizontal="center" vertical="center"/>
    </xf>
    <xf numFmtId="0" fontId="95" fillId="22" borderId="15" xfId="0" applyFont="1" applyFill="1" applyBorder="1" applyAlignment="1">
      <alignment horizontal="left" vertical="center" wrapText="1"/>
    </xf>
    <xf numFmtId="10" fontId="86" fillId="22" borderId="113" xfId="0" applyNumberFormat="1" applyFont="1" applyFill="1" applyBorder="1" applyAlignment="1">
      <alignment horizontal="center"/>
    </xf>
    <xf numFmtId="0" fontId="86" fillId="13" borderId="0" xfId="0" applyFont="1" applyFill="1" applyBorder="1" applyAlignment="1">
      <alignment vertical="center" wrapText="1"/>
    </xf>
    <xf numFmtId="166" fontId="86" fillId="13" borderId="0" xfId="28" applyNumberFormat="1" applyFont="1" applyFill="1" applyBorder="1" applyAlignment="1">
      <alignment vertical="center" wrapText="1"/>
    </xf>
    <xf numFmtId="0" fontId="0" fillId="22" borderId="3" xfId="0" applyFont="1" applyFill="1" applyBorder="1" applyAlignment="1">
      <alignment vertical="center"/>
    </xf>
    <xf numFmtId="0" fontId="0" fillId="0" borderId="0" xfId="0" applyFont="1" applyBorder="1" applyAlignment="1">
      <alignment horizontal="center" vertical="center"/>
    </xf>
    <xf numFmtId="9" fontId="0" fillId="22" borderId="3" xfId="0" applyNumberFormat="1" applyFont="1" applyFill="1" applyBorder="1" applyAlignment="1">
      <alignment vertical="center" wrapText="1"/>
    </xf>
    <xf numFmtId="9" fontId="56" fillId="0" borderId="3" xfId="28" applyFont="1" applyBorder="1" applyAlignment="1">
      <alignment vertical="center"/>
    </xf>
    <xf numFmtId="0" fontId="0" fillId="0" borderId="3" xfId="0" applyFont="1" applyBorder="1" applyAlignment="1">
      <alignment wrapText="1"/>
    </xf>
    <xf numFmtId="9" fontId="56" fillId="0" borderId="3" xfId="28" applyFont="1" applyBorder="1" applyAlignment="1">
      <alignment horizontal="center" vertical="center"/>
    </xf>
    <xf numFmtId="0" fontId="115" fillId="22" borderId="13" xfId="0" applyFont="1" applyFill="1" applyBorder="1" applyAlignment="1">
      <alignment horizontal="left" vertical="center" wrapText="1" readingOrder="1"/>
    </xf>
    <xf numFmtId="0" fontId="0" fillId="13" borderId="3" xfId="0" applyFont="1" applyFill="1" applyBorder="1" applyAlignment="1">
      <alignment horizontal="center" vertical="center"/>
    </xf>
    <xf numFmtId="9" fontId="0" fillId="22" borderId="3" xfId="0" applyNumberFormat="1" applyFont="1" applyFill="1" applyBorder="1" applyAlignment="1">
      <alignment horizontal="center" vertical="center" wrapText="1"/>
    </xf>
    <xf numFmtId="9" fontId="0" fillId="22" borderId="3" xfId="0" applyNumberFormat="1" applyFont="1" applyFill="1" applyBorder="1" applyAlignment="1">
      <alignment horizontal="center" vertical="center" wrapText="1"/>
    </xf>
    <xf numFmtId="9" fontId="0" fillId="22" borderId="3" xfId="0" applyNumberFormat="1" applyFont="1" applyFill="1" applyBorder="1" applyAlignment="1">
      <alignment horizontal="left" vertical="center" wrapText="1"/>
    </xf>
    <xf numFmtId="0" fontId="69" fillId="0" borderId="3" xfId="0" applyFont="1" applyBorder="1" applyAlignment="1">
      <alignment vertical="center" wrapText="1"/>
    </xf>
    <xf numFmtId="9" fontId="0" fillId="22" borderId="3" xfId="0" applyNumberFormat="1" applyFont="1" applyFill="1" applyBorder="1" applyAlignment="1">
      <alignment vertical="center" wrapText="1"/>
    </xf>
    <xf numFmtId="0" fontId="69" fillId="22" borderId="15" xfId="0" applyFont="1" applyFill="1" applyBorder="1" applyAlignment="1">
      <alignment horizontal="left" vertical="center" wrapText="1"/>
    </xf>
    <xf numFmtId="0" fontId="68" fillId="8" borderId="65" xfId="6" applyFont="1" applyBorder="1" applyAlignment="1">
      <alignment horizontal="center" vertical="center"/>
    </xf>
    <xf numFmtId="0" fontId="0" fillId="0" borderId="13" xfId="0" applyFont="1" applyBorder="1" applyAlignment="1">
      <alignment horizontal="left"/>
    </xf>
    <xf numFmtId="9" fontId="0" fillId="22" borderId="115" xfId="0" applyNumberFormat="1" applyFont="1" applyFill="1" applyBorder="1" applyAlignment="1">
      <alignment horizontal="center"/>
    </xf>
    <xf numFmtId="0" fontId="0" fillId="27" borderId="3" xfId="0" applyFont="1" applyFill="1" applyBorder="1" applyAlignment="1">
      <alignment horizontal="center" vertical="center" wrapText="1"/>
    </xf>
    <xf numFmtId="0" fontId="95" fillId="22" borderId="3" xfId="0" applyFont="1" applyFill="1" applyBorder="1" applyAlignment="1">
      <alignment horizontal="left" vertical="center" wrapText="1"/>
    </xf>
    <xf numFmtId="0" fontId="0" fillId="18" borderId="109" xfId="0" applyFont="1" applyFill="1" applyBorder="1" applyAlignment="1">
      <alignment horizontal="center" vertical="center"/>
    </xf>
    <xf numFmtId="0" fontId="0" fillId="18" borderId="118" xfId="0" applyFont="1" applyFill="1" applyBorder="1" applyAlignment="1">
      <alignment horizontal="center" vertical="center"/>
    </xf>
    <xf numFmtId="0" fontId="0" fillId="18" borderId="126" xfId="0" applyFont="1" applyFill="1" applyBorder="1" applyAlignment="1">
      <alignment horizontal="center" vertical="center"/>
    </xf>
    <xf numFmtId="0" fontId="0" fillId="35" borderId="126" xfId="0" applyFont="1" applyFill="1" applyBorder="1" applyAlignment="1">
      <alignment horizontal="center" vertical="center"/>
    </xf>
    <xf numFmtId="10" fontId="56" fillId="22" borderId="3" xfId="28" applyNumberFormat="1" applyFont="1" applyFill="1" applyBorder="1" applyAlignment="1">
      <alignment vertical="center" wrapText="1"/>
    </xf>
    <xf numFmtId="0" fontId="0" fillId="22" borderId="9" xfId="0" applyFont="1" applyFill="1" applyBorder="1" applyAlignment="1">
      <alignment vertical="center" wrapText="1"/>
    </xf>
    <xf numFmtId="10" fontId="86" fillId="0" borderId="3" xfId="0" applyNumberFormat="1" applyFont="1" applyFill="1" applyBorder="1" applyAlignment="1">
      <alignment horizontal="center" wrapText="1"/>
    </xf>
    <xf numFmtId="0" fontId="0" fillId="0" borderId="3" xfId="0" applyFont="1" applyFill="1" applyBorder="1"/>
    <xf numFmtId="166" fontId="56" fillId="13" borderId="0" xfId="28" applyNumberFormat="1" applyFont="1" applyFill="1" applyAlignment="1">
      <alignment horizontal="center"/>
    </xf>
    <xf numFmtId="0" fontId="86" fillId="13" borderId="0" xfId="0" applyFont="1" applyFill="1" applyBorder="1"/>
    <xf numFmtId="166" fontId="56" fillId="13" borderId="0" xfId="28" applyNumberFormat="1" applyFont="1" applyFill="1" applyAlignment="1"/>
    <xf numFmtId="166" fontId="86" fillId="13" borderId="0" xfId="28" applyNumberFormat="1" applyFont="1" applyFill="1" applyBorder="1"/>
    <xf numFmtId="0" fontId="0" fillId="35" borderId="185" xfId="0" applyFont="1" applyFill="1" applyBorder="1" applyAlignment="1">
      <alignment horizontal="center" vertical="center"/>
    </xf>
    <xf numFmtId="0" fontId="0" fillId="35" borderId="186" xfId="0" applyFont="1" applyFill="1" applyBorder="1" applyAlignment="1">
      <alignment horizontal="center" vertical="center"/>
    </xf>
    <xf numFmtId="0" fontId="0" fillId="35" borderId="187" xfId="0" applyFont="1" applyFill="1" applyBorder="1" applyAlignment="1">
      <alignment horizontal="center" vertical="center"/>
    </xf>
    <xf numFmtId="0" fontId="0" fillId="35" borderId="120" xfId="0" applyFont="1" applyFill="1" applyBorder="1" applyAlignment="1">
      <alignment horizontal="center" vertical="center"/>
    </xf>
    <xf numFmtId="0" fontId="0" fillId="35" borderId="188" xfId="0" applyFont="1" applyFill="1" applyBorder="1" applyAlignment="1">
      <alignment horizontal="center" vertical="center"/>
    </xf>
    <xf numFmtId="0" fontId="0" fillId="35" borderId="189" xfId="0" applyFont="1" applyFill="1" applyBorder="1" applyAlignment="1">
      <alignment horizontal="center" vertical="center"/>
    </xf>
    <xf numFmtId="0" fontId="0" fillId="35" borderId="190" xfId="0" applyFont="1" applyFill="1" applyBorder="1" applyAlignment="1">
      <alignment horizontal="center" vertical="center"/>
    </xf>
    <xf numFmtId="0" fontId="0" fillId="35" borderId="191" xfId="0" applyFont="1" applyFill="1" applyBorder="1" applyAlignment="1">
      <alignment horizontal="center" vertical="center"/>
    </xf>
    <xf numFmtId="10" fontId="56" fillId="22" borderId="35" xfId="28" applyNumberFormat="1" applyFont="1" applyFill="1" applyBorder="1" applyAlignment="1">
      <alignment horizontal="center" vertical="center" wrapText="1"/>
    </xf>
    <xf numFmtId="0" fontId="0" fillId="22" borderId="9" xfId="0" applyFont="1" applyFill="1" applyBorder="1" applyAlignment="1">
      <alignment horizontal="center" vertical="center" wrapText="1"/>
    </xf>
    <xf numFmtId="9" fontId="56" fillId="22" borderId="20" xfId="28" applyFont="1" applyFill="1" applyBorder="1" applyAlignment="1">
      <alignment horizontal="center" vertical="center" wrapText="1"/>
    </xf>
    <xf numFmtId="0" fontId="86" fillId="0" borderId="3" xfId="0" applyFont="1" applyBorder="1" applyAlignment="1">
      <alignment vertical="center" wrapText="1"/>
    </xf>
    <xf numFmtId="9" fontId="56" fillId="22" borderId="3" xfId="28" applyNumberFormat="1" applyFont="1" applyFill="1" applyBorder="1" applyAlignment="1">
      <alignment horizontal="center" vertical="center"/>
    </xf>
    <xf numFmtId="9" fontId="56" fillId="0" borderId="3" xfId="28" applyFont="1" applyBorder="1" applyAlignment="1">
      <alignment horizontal="center" vertical="center" wrapText="1"/>
    </xf>
    <xf numFmtId="0" fontId="57" fillId="0" borderId="3" xfId="8" applyBorder="1" applyAlignment="1">
      <alignment vertical="center" wrapText="1"/>
    </xf>
    <xf numFmtId="0" fontId="0" fillId="0" borderId="3" xfId="0" applyFont="1" applyFill="1" applyBorder="1" applyAlignment="1">
      <alignment horizontal="left" vertical="center" wrapText="1"/>
    </xf>
    <xf numFmtId="9" fontId="56" fillId="22" borderId="192" xfId="28" applyNumberFormat="1" applyFont="1" applyFill="1" applyBorder="1" applyAlignment="1">
      <alignment horizontal="center" vertical="center"/>
    </xf>
    <xf numFmtId="9" fontId="56" fillId="22" borderId="193" xfId="28" applyNumberFormat="1" applyFont="1" applyFill="1" applyBorder="1" applyAlignment="1">
      <alignment horizontal="center" vertical="center"/>
    </xf>
    <xf numFmtId="9" fontId="56" fillId="22" borderId="194" xfId="28" applyNumberFormat="1" applyFont="1" applyFill="1" applyBorder="1" applyAlignment="1">
      <alignment horizontal="center" vertical="center"/>
    </xf>
    <xf numFmtId="10" fontId="0" fillId="28" borderId="3" xfId="0" applyNumberFormat="1" applyFont="1" applyFill="1" applyBorder="1" applyAlignment="1">
      <alignment horizontal="center" vertical="center"/>
    </xf>
    <xf numFmtId="10" fontId="0" fillId="0" borderId="3" xfId="0" applyNumberFormat="1" applyFont="1" applyBorder="1" applyAlignment="1">
      <alignment horizontal="center" vertical="center" wrapText="1"/>
    </xf>
    <xf numFmtId="10" fontId="56" fillId="22" borderId="3" xfId="28" applyNumberFormat="1" applyFont="1" applyFill="1" applyBorder="1" applyAlignment="1">
      <alignment horizontal="center" vertical="center"/>
    </xf>
    <xf numFmtId="9" fontId="0" fillId="0" borderId="3" xfId="0" applyNumberFormat="1" applyFont="1" applyBorder="1" applyAlignment="1">
      <alignment horizontal="center" vertical="center" wrapText="1"/>
    </xf>
    <xf numFmtId="0" fontId="0" fillId="13" borderId="113" xfId="0" applyFont="1" applyFill="1" applyBorder="1"/>
    <xf numFmtId="166" fontId="56" fillId="13" borderId="113" xfId="28" applyNumberFormat="1" applyFont="1" applyFill="1" applyBorder="1"/>
    <xf numFmtId="10" fontId="86" fillId="13" borderId="113" xfId="0" applyNumberFormat="1" applyFont="1" applyFill="1" applyBorder="1" applyAlignment="1">
      <alignment horizontal="center" vertical="center"/>
    </xf>
    <xf numFmtId="10" fontId="0" fillId="22" borderId="113" xfId="0" applyNumberFormat="1" applyFont="1" applyFill="1" applyBorder="1"/>
    <xf numFmtId="0" fontId="0" fillId="0" borderId="0" xfId="0" applyFont="1" applyBorder="1" applyAlignment="1">
      <alignment horizontal="left"/>
    </xf>
    <xf numFmtId="171" fontId="86" fillId="0" borderId="0" xfId="0" applyNumberFormat="1" applyFont="1" applyAlignment="1">
      <alignment horizontal="center"/>
    </xf>
    <xf numFmtId="10" fontId="56" fillId="0" borderId="0" xfId="28" applyNumberFormat="1" applyFont="1"/>
    <xf numFmtId="0" fontId="68" fillId="8" borderId="66" xfId="6" applyFont="1" applyBorder="1" applyAlignment="1">
      <alignment horizontal="center" vertical="center" wrapText="1"/>
    </xf>
    <xf numFmtId="0" fontId="68" fillId="8" borderId="67" xfId="6" applyFont="1" applyBorder="1" applyAlignment="1">
      <alignment horizontal="center" vertical="center" wrapText="1"/>
    </xf>
    <xf numFmtId="0" fontId="68" fillId="8" borderId="68" xfId="6" applyFont="1" applyBorder="1" applyAlignment="1">
      <alignment horizontal="center" vertical="center" wrapText="1"/>
    </xf>
    <xf numFmtId="0" fontId="0" fillId="22" borderId="112" xfId="0" applyFont="1" applyFill="1" applyBorder="1"/>
    <xf numFmtId="0" fontId="0" fillId="22" borderId="0" xfId="0" applyFont="1" applyFill="1" applyBorder="1"/>
    <xf numFmtId="0" fontId="0" fillId="0" borderId="0" xfId="0" applyFont="1" applyBorder="1" applyAlignment="1">
      <alignment horizontal="center"/>
    </xf>
    <xf numFmtId="0" fontId="68" fillId="8" borderId="69" xfId="6" applyFont="1" applyBorder="1" applyAlignment="1">
      <alignment horizontal="center" vertical="center" wrapText="1"/>
    </xf>
    <xf numFmtId="0" fontId="59" fillId="8" borderId="70" xfId="6" applyFont="1" applyBorder="1" applyAlignment="1">
      <alignment horizontal="center" vertical="center" wrapText="1"/>
    </xf>
    <xf numFmtId="0" fontId="68" fillId="8" borderId="51" xfId="6" applyFont="1" applyBorder="1" applyAlignment="1">
      <alignment horizontal="center" vertical="center"/>
    </xf>
    <xf numFmtId="0" fontId="86" fillId="0" borderId="71" xfId="0" applyFont="1" applyFill="1" applyBorder="1" applyAlignment="1">
      <alignment horizontal="center" vertical="center"/>
    </xf>
    <xf numFmtId="10" fontId="56" fillId="34" borderId="72" xfId="28" applyNumberFormat="1" applyFont="1" applyFill="1" applyBorder="1" applyAlignment="1">
      <alignment horizontal="center" vertical="center"/>
    </xf>
    <xf numFmtId="10" fontId="56" fillId="34" borderId="6" xfId="28" applyNumberFormat="1" applyFont="1" applyFill="1" applyBorder="1" applyAlignment="1">
      <alignment horizontal="center" vertical="center"/>
    </xf>
    <xf numFmtId="10" fontId="56" fillId="34" borderId="73" xfId="28" applyNumberFormat="1" applyFont="1" applyFill="1" applyBorder="1" applyAlignment="1">
      <alignment horizontal="center" vertical="center"/>
    </xf>
    <xf numFmtId="166" fontId="113" fillId="0" borderId="71" xfId="28" applyNumberFormat="1" applyFont="1" applyFill="1" applyBorder="1" applyAlignment="1">
      <alignment horizontal="center" vertical="center"/>
    </xf>
    <xf numFmtId="0" fontId="86" fillId="0" borderId="74" xfId="0" applyFont="1" applyFill="1" applyBorder="1" applyAlignment="1">
      <alignment horizontal="center" vertical="center"/>
    </xf>
    <xf numFmtId="10" fontId="56" fillId="34" borderId="75" xfId="28" applyNumberFormat="1" applyFont="1" applyFill="1" applyBorder="1" applyAlignment="1">
      <alignment horizontal="center" vertical="center"/>
    </xf>
    <xf numFmtId="10" fontId="56" fillId="34" borderId="8" xfId="28" applyNumberFormat="1" applyFont="1" applyFill="1" applyBorder="1" applyAlignment="1">
      <alignment horizontal="center" vertical="center"/>
    </xf>
    <xf numFmtId="10" fontId="56" fillId="34" borderId="76" xfId="28" applyNumberFormat="1" applyFont="1" applyFill="1" applyBorder="1" applyAlignment="1">
      <alignment horizontal="center" vertical="center"/>
    </xf>
    <xf numFmtId="10" fontId="113" fillId="0" borderId="74" xfId="28" applyNumberFormat="1" applyFont="1" applyFill="1" applyBorder="1" applyAlignment="1">
      <alignment horizontal="center" vertical="center"/>
    </xf>
    <xf numFmtId="10" fontId="56" fillId="34" borderId="77" xfId="28" applyNumberFormat="1" applyFont="1" applyFill="1" applyBorder="1" applyAlignment="1">
      <alignment horizontal="center" vertical="center"/>
    </xf>
    <xf numFmtId="10" fontId="56" fillId="34" borderId="78" xfId="28" applyNumberFormat="1" applyFont="1" applyFill="1" applyBorder="1" applyAlignment="1">
      <alignment horizontal="center" vertical="center"/>
    </xf>
    <xf numFmtId="10" fontId="56" fillId="34" borderId="79" xfId="28" applyNumberFormat="1" applyFont="1" applyFill="1" applyBorder="1" applyAlignment="1">
      <alignment horizontal="center" vertical="center"/>
    </xf>
    <xf numFmtId="0" fontId="86" fillId="0" borderId="80" xfId="0" applyFont="1" applyFill="1" applyBorder="1" applyAlignment="1">
      <alignment horizontal="center" vertical="center"/>
    </xf>
    <xf numFmtId="10" fontId="56" fillId="34" borderId="81" xfId="28" applyNumberFormat="1" applyFont="1" applyFill="1" applyBorder="1" applyAlignment="1">
      <alignment horizontal="center" vertical="center"/>
    </xf>
    <xf numFmtId="10" fontId="56" fillId="34" borderId="82" xfId="28" applyNumberFormat="1" applyFont="1" applyFill="1" applyBorder="1" applyAlignment="1">
      <alignment horizontal="center" vertical="center"/>
    </xf>
    <xf numFmtId="10" fontId="56" fillId="34" borderId="83" xfId="28" applyNumberFormat="1" applyFont="1" applyFill="1" applyBorder="1" applyAlignment="1">
      <alignment horizontal="center" vertical="center"/>
    </xf>
    <xf numFmtId="10" fontId="113" fillId="0" borderId="80" xfId="28" applyNumberFormat="1" applyFont="1" applyFill="1" applyBorder="1" applyAlignment="1">
      <alignment horizontal="center" vertical="center"/>
    </xf>
    <xf numFmtId="10" fontId="56" fillId="35" borderId="129" xfId="28" applyNumberFormat="1" applyFont="1" applyFill="1" applyBorder="1" applyAlignment="1">
      <alignment horizontal="center" vertical="center"/>
    </xf>
    <xf numFmtId="10" fontId="56" fillId="35" borderId="130" xfId="28" applyNumberFormat="1" applyFont="1" applyFill="1" applyBorder="1" applyAlignment="1">
      <alignment horizontal="center" vertical="center"/>
    </xf>
    <xf numFmtId="0" fontId="0" fillId="35" borderId="192" xfId="0" applyFont="1" applyFill="1" applyBorder="1" applyAlignment="1">
      <alignment horizontal="center" vertical="center"/>
    </xf>
    <xf numFmtId="0" fontId="0" fillId="35" borderId="172" xfId="0" applyFont="1" applyFill="1" applyBorder="1" applyAlignment="1">
      <alignment horizontal="center" vertical="center"/>
    </xf>
    <xf numFmtId="10" fontId="56" fillId="35" borderId="114" xfId="28" applyNumberFormat="1" applyFont="1" applyFill="1" applyBorder="1" applyAlignment="1">
      <alignment horizontal="center" vertical="center"/>
    </xf>
    <xf numFmtId="10" fontId="56" fillId="35" borderId="135" xfId="28" applyNumberFormat="1" applyFont="1" applyFill="1" applyBorder="1" applyAlignment="1">
      <alignment horizontal="center" vertical="center"/>
    </xf>
    <xf numFmtId="0" fontId="0" fillId="35" borderId="194" xfId="0" applyFont="1" applyFill="1" applyBorder="1" applyAlignment="1">
      <alignment horizontal="center" vertical="center"/>
    </xf>
    <xf numFmtId="0" fontId="0" fillId="35" borderId="153" xfId="0" applyFont="1" applyFill="1" applyBorder="1" applyAlignment="1">
      <alignment horizontal="center" vertical="center"/>
    </xf>
    <xf numFmtId="0" fontId="113" fillId="0" borderId="22" xfId="0" applyFont="1" applyBorder="1" applyAlignment="1">
      <alignment horizontal="center" vertical="center"/>
    </xf>
    <xf numFmtId="15" fontId="0" fillId="22" borderId="3" xfId="0" applyNumberFormat="1" applyFont="1" applyFill="1" applyBorder="1" applyAlignment="1">
      <alignment horizontal="center" vertical="center" wrapText="1"/>
    </xf>
    <xf numFmtId="9" fontId="0" fillId="0" borderId="3" xfId="0" applyNumberFormat="1" applyFont="1" applyBorder="1" applyAlignment="1">
      <alignment horizontal="center" vertical="center"/>
    </xf>
    <xf numFmtId="0" fontId="0" fillId="37" borderId="3" xfId="0" applyFont="1" applyFill="1" applyBorder="1" applyAlignment="1">
      <alignment horizontal="center" wrapText="1"/>
    </xf>
    <xf numFmtId="0" fontId="0" fillId="37" borderId="3" xfId="0" applyFont="1" applyFill="1" applyBorder="1" applyAlignment="1">
      <alignment horizontal="center" vertical="center"/>
    </xf>
    <xf numFmtId="0" fontId="0" fillId="22" borderId="110" xfId="0" applyFont="1" applyFill="1" applyBorder="1"/>
    <xf numFmtId="0" fontId="0" fillId="22" borderId="111" xfId="0" applyFont="1" applyFill="1" applyBorder="1"/>
    <xf numFmtId="0" fontId="0" fillId="22" borderId="11" xfId="0" applyFont="1" applyFill="1" applyBorder="1" applyAlignment="1">
      <alignment horizontal="center" vertical="center" wrapText="1"/>
    </xf>
    <xf numFmtId="0" fontId="115" fillId="22" borderId="15" xfId="0" applyFont="1" applyFill="1" applyBorder="1" applyAlignment="1">
      <alignment horizontal="left" vertical="center" readingOrder="1"/>
    </xf>
    <xf numFmtId="15" fontId="0" fillId="22" borderId="9" xfId="0" applyNumberFormat="1" applyFont="1" applyFill="1" applyBorder="1" applyAlignment="1">
      <alignment horizontal="center" vertical="center" wrapText="1"/>
    </xf>
    <xf numFmtId="0" fontId="0" fillId="0" borderId="15" xfId="0" applyFont="1" applyBorder="1"/>
    <xf numFmtId="0" fontId="0" fillId="0" borderId="64" xfId="0" applyFont="1" applyBorder="1"/>
    <xf numFmtId="0" fontId="0" fillId="0" borderId="195" xfId="0" applyFont="1" applyBorder="1"/>
    <xf numFmtId="0" fontId="0" fillId="0" borderId="148" xfId="0" applyFont="1" applyBorder="1"/>
    <xf numFmtId="0" fontId="0" fillId="0" borderId="149" xfId="0" applyFont="1" applyBorder="1"/>
    <xf numFmtId="0" fontId="0" fillId="22" borderId="113" xfId="0" applyFont="1" applyFill="1" applyBorder="1"/>
    <xf numFmtId="0" fontId="0" fillId="35" borderId="196" xfId="0" applyFont="1" applyFill="1" applyBorder="1"/>
    <xf numFmtId="0" fontId="0" fillId="35" borderId="197" xfId="0" applyFont="1" applyFill="1" applyBorder="1"/>
    <xf numFmtId="0" fontId="0" fillId="35" borderId="197" xfId="0" applyFont="1" applyFill="1" applyBorder="1" applyAlignment="1">
      <alignment horizontal="center" vertical="center"/>
    </xf>
    <xf numFmtId="0" fontId="0" fillId="35" borderId="198" xfId="0" applyFont="1" applyFill="1" applyBorder="1" applyAlignment="1">
      <alignment horizontal="center" vertical="center"/>
    </xf>
    <xf numFmtId="0" fontId="0" fillId="35" borderId="199" xfId="0" applyFont="1" applyFill="1" applyBorder="1" applyAlignment="1">
      <alignment horizontal="center" vertical="center"/>
    </xf>
    <xf numFmtId="0" fontId="0" fillId="35" borderId="200" xfId="0" applyFont="1" applyFill="1" applyBorder="1"/>
    <xf numFmtId="0" fontId="0" fillId="35" borderId="201" xfId="0" applyFont="1" applyFill="1" applyBorder="1"/>
    <xf numFmtId="0" fontId="0" fillId="35" borderId="201" xfId="0" applyFont="1" applyFill="1" applyBorder="1" applyAlignment="1">
      <alignment horizontal="center" vertical="center"/>
    </xf>
    <xf numFmtId="0" fontId="0" fillId="35" borderId="202" xfId="0" applyFont="1" applyFill="1" applyBorder="1" applyAlignment="1">
      <alignment horizontal="center" vertical="center"/>
    </xf>
    <xf numFmtId="0" fontId="0" fillId="35" borderId="203" xfId="0" applyFont="1" applyFill="1" applyBorder="1" applyAlignment="1">
      <alignment horizontal="center" vertical="center"/>
    </xf>
    <xf numFmtId="0" fontId="0" fillId="35" borderId="129" xfId="0" applyFont="1" applyFill="1" applyBorder="1" applyAlignment="1">
      <alignment horizontal="center" vertical="center"/>
    </xf>
    <xf numFmtId="0" fontId="0" fillId="35" borderId="130" xfId="0" applyFont="1" applyFill="1" applyBorder="1" applyAlignment="1">
      <alignment horizontal="center" vertical="center"/>
    </xf>
    <xf numFmtId="0" fontId="0" fillId="35" borderId="131" xfId="0" applyFont="1" applyFill="1" applyBorder="1" applyAlignment="1">
      <alignment horizontal="center" vertical="center"/>
    </xf>
    <xf numFmtId="0" fontId="0" fillId="35" borderId="132" xfId="0" applyFont="1" applyFill="1" applyBorder="1" applyAlignment="1">
      <alignment horizontal="center" vertical="center"/>
    </xf>
    <xf numFmtId="0" fontId="0" fillId="35" borderId="133" xfId="0" applyFont="1" applyFill="1" applyBorder="1" applyAlignment="1">
      <alignment horizontal="center" vertical="center"/>
    </xf>
    <xf numFmtId="0" fontId="0" fillId="35" borderId="134" xfId="0" applyFont="1" applyFill="1" applyBorder="1" applyAlignment="1">
      <alignment horizontal="center" vertical="center"/>
    </xf>
    <xf numFmtId="0" fontId="0" fillId="35" borderId="114" xfId="0" applyFont="1" applyFill="1" applyBorder="1"/>
    <xf numFmtId="0" fontId="0" fillId="35" borderId="135" xfId="0" applyFont="1" applyFill="1" applyBorder="1"/>
    <xf numFmtId="0" fontId="0" fillId="35" borderId="135" xfId="0" applyFont="1" applyFill="1" applyBorder="1" applyAlignment="1">
      <alignment horizontal="center" vertical="center"/>
    </xf>
    <xf numFmtId="0" fontId="0" fillId="35" borderId="136" xfId="0" applyFont="1" applyFill="1" applyBorder="1" applyAlignment="1">
      <alignment horizontal="center" vertical="center"/>
    </xf>
    <xf numFmtId="0" fontId="0" fillId="35" borderId="147" xfId="0" applyFont="1" applyFill="1" applyBorder="1"/>
    <xf numFmtId="0" fontId="0" fillId="35" borderId="148" xfId="0" applyFont="1" applyFill="1" applyBorder="1"/>
    <xf numFmtId="0" fontId="0" fillId="35" borderId="148" xfId="0" applyFont="1" applyFill="1" applyBorder="1" applyAlignment="1">
      <alignment horizontal="center" vertical="center"/>
    </xf>
    <xf numFmtId="0" fontId="0" fillId="35" borderId="118" xfId="0" applyFont="1" applyFill="1" applyBorder="1" applyAlignment="1">
      <alignment horizontal="center" vertical="center"/>
    </xf>
    <xf numFmtId="0" fontId="0" fillId="35" borderId="150" xfId="0" applyFont="1" applyFill="1" applyBorder="1"/>
    <xf numFmtId="0" fontId="0" fillId="35" borderId="121" xfId="0" applyFont="1" applyFill="1" applyBorder="1"/>
    <xf numFmtId="0" fontId="0" fillId="35" borderId="121" xfId="0" applyFont="1" applyFill="1" applyBorder="1" applyAlignment="1">
      <alignment horizontal="center" vertical="center"/>
    </xf>
    <xf numFmtId="0" fontId="0" fillId="35" borderId="204" xfId="0" applyFont="1" applyFill="1" applyBorder="1" applyAlignment="1">
      <alignment horizontal="center" vertical="center"/>
    </xf>
    <xf numFmtId="0" fontId="0" fillId="35" borderId="115" xfId="0" applyFont="1" applyFill="1" applyBorder="1" applyAlignment="1">
      <alignment horizontal="center" vertical="center"/>
    </xf>
    <xf numFmtId="0" fontId="0" fillId="35" borderId="160" xfId="0" applyFont="1" applyFill="1" applyBorder="1"/>
    <xf numFmtId="0" fontId="0" fillId="35" borderId="109" xfId="0" applyFont="1" applyFill="1" applyBorder="1"/>
    <xf numFmtId="0" fontId="0" fillId="35" borderId="109" xfId="0" applyFont="1" applyFill="1" applyBorder="1" applyAlignment="1">
      <alignment horizontal="center" vertical="center"/>
    </xf>
    <xf numFmtId="0" fontId="0" fillId="35" borderId="122" xfId="0" applyFont="1" applyFill="1" applyBorder="1" applyAlignment="1">
      <alignment horizontal="center" vertical="center"/>
    </xf>
    <xf numFmtId="0" fontId="0" fillId="35" borderId="152" xfId="0" applyFont="1" applyFill="1" applyBorder="1"/>
    <xf numFmtId="0" fontId="0" fillId="35" borderId="127" xfId="0" applyFont="1" applyFill="1" applyBorder="1" applyAlignment="1">
      <alignment horizontal="center" vertical="center"/>
    </xf>
    <xf numFmtId="0" fontId="0" fillId="35" borderId="128" xfId="0" applyFont="1" applyFill="1" applyBorder="1" applyAlignment="1">
      <alignment horizontal="center" vertical="center"/>
    </xf>
    <xf numFmtId="0" fontId="0" fillId="35" borderId="161" xfId="0" applyFont="1" applyFill="1" applyBorder="1"/>
    <xf numFmtId="0" fontId="0" fillId="35" borderId="125" xfId="0" applyFont="1" applyFill="1" applyBorder="1"/>
    <xf numFmtId="0" fontId="0" fillId="35" borderId="125" xfId="0" applyFont="1" applyFill="1" applyBorder="1" applyAlignment="1">
      <alignment horizontal="center" vertical="center"/>
    </xf>
    <xf numFmtId="0" fontId="0" fillId="35" borderId="126" xfId="0" applyFont="1" applyFill="1" applyBorder="1" applyAlignment="1">
      <alignment horizontal="center" vertical="center"/>
    </xf>
    <xf numFmtId="0" fontId="0" fillId="35" borderId="110" xfId="0" applyFont="1" applyFill="1" applyBorder="1"/>
    <xf numFmtId="0" fontId="0" fillId="35" borderId="111" xfId="0" applyFont="1" applyFill="1" applyBorder="1"/>
    <xf numFmtId="0" fontId="0" fillId="35" borderId="111" xfId="0" applyFont="1" applyFill="1" applyBorder="1" applyAlignment="1">
      <alignment horizontal="center" vertical="center"/>
    </xf>
    <xf numFmtId="0" fontId="0" fillId="35" borderId="113" xfId="0" applyFont="1" applyFill="1" applyBorder="1" applyAlignment="1">
      <alignment horizontal="center" vertical="center"/>
    </xf>
    <xf numFmtId="9" fontId="0" fillId="0" borderId="131" xfId="0" applyNumberFormat="1" applyFont="1" applyBorder="1" applyAlignment="1">
      <alignment horizontal="center" vertical="center"/>
    </xf>
    <xf numFmtId="9" fontId="0" fillId="0" borderId="136" xfId="0" applyNumberFormat="1" applyFont="1" applyBorder="1" applyAlignment="1">
      <alignment horizontal="center" vertical="center"/>
    </xf>
    <xf numFmtId="166" fontId="56" fillId="13" borderId="0" xfId="28" applyNumberFormat="1" applyFont="1" applyFill="1"/>
    <xf numFmtId="0" fontId="0" fillId="22" borderId="22" xfId="0" applyFont="1" applyFill="1" applyBorder="1" applyAlignment="1">
      <alignment vertical="center"/>
    </xf>
    <xf numFmtId="0" fontId="0" fillId="0" borderId="16" xfId="0" applyFont="1" applyBorder="1"/>
    <xf numFmtId="166" fontId="56" fillId="13" borderId="0" xfId="28" applyNumberFormat="1" applyFont="1" applyFill="1" applyAlignment="1">
      <alignment horizontal="left"/>
    </xf>
    <xf numFmtId="0" fontId="0" fillId="22" borderId="205" xfId="0" applyFont="1" applyFill="1" applyBorder="1" applyAlignment="1">
      <alignment vertical="center" wrapText="1"/>
    </xf>
    <xf numFmtId="0" fontId="0" fillId="22" borderId="206" xfId="0" applyFont="1" applyFill="1" applyBorder="1" applyAlignment="1">
      <alignment vertical="center" wrapText="1"/>
    </xf>
    <xf numFmtId="0" fontId="0" fillId="0" borderId="110" xfId="0" applyFont="1" applyBorder="1"/>
    <xf numFmtId="166" fontId="86" fillId="13" borderId="0" xfId="28" applyNumberFormat="1" applyFont="1" applyFill="1" applyAlignment="1">
      <alignment horizontal="center" vertical="center"/>
    </xf>
    <xf numFmtId="0" fontId="112" fillId="22" borderId="15" xfId="0" applyFont="1" applyFill="1" applyBorder="1" applyAlignment="1">
      <alignment horizontal="left" vertical="center" wrapText="1"/>
    </xf>
    <xf numFmtId="0" fontId="0" fillId="22" borderId="129" xfId="0" applyFont="1" applyFill="1" applyBorder="1" applyAlignment="1">
      <alignment horizontal="center" vertical="center" wrapText="1"/>
    </xf>
    <xf numFmtId="0" fontId="0" fillId="22" borderId="132" xfId="0" applyFont="1" applyFill="1" applyBorder="1" applyAlignment="1">
      <alignment horizontal="center" vertical="center" wrapText="1"/>
    </xf>
    <xf numFmtId="0" fontId="0" fillId="22" borderId="114" xfId="0" applyFont="1" applyFill="1" applyBorder="1" applyAlignment="1">
      <alignment horizontal="center" vertical="center" wrapText="1"/>
    </xf>
    <xf numFmtId="0" fontId="0" fillId="22" borderId="129" xfId="0" applyFont="1" applyFill="1" applyBorder="1" applyAlignment="1">
      <alignment vertical="center" wrapText="1"/>
    </xf>
    <xf numFmtId="15" fontId="0" fillId="22" borderId="130" xfId="0" applyNumberFormat="1" applyFont="1" applyFill="1" applyBorder="1" applyAlignment="1">
      <alignment horizontal="center" vertical="center"/>
    </xf>
    <xf numFmtId="0" fontId="0" fillId="22" borderId="132" xfId="0" applyFont="1" applyFill="1" applyBorder="1" applyAlignment="1">
      <alignment vertical="center" wrapText="1"/>
    </xf>
    <xf numFmtId="0" fontId="0" fillId="22" borderId="133" xfId="0" applyFont="1" applyFill="1" applyBorder="1" applyAlignment="1">
      <alignment horizontal="center" vertical="center" wrapText="1"/>
    </xf>
    <xf numFmtId="0" fontId="0" fillId="22" borderId="114" xfId="0" applyFont="1" applyFill="1" applyBorder="1" applyAlignment="1">
      <alignment vertical="center" wrapText="1"/>
    </xf>
    <xf numFmtId="15" fontId="0" fillId="22" borderId="135" xfId="0" applyNumberFormat="1" applyFont="1" applyFill="1" applyBorder="1" applyAlignment="1">
      <alignment horizontal="center" vertical="center"/>
    </xf>
    <xf numFmtId="15" fontId="0" fillId="22" borderId="3" xfId="0" applyNumberFormat="1" applyFont="1" applyFill="1" applyBorder="1" applyAlignment="1">
      <alignment horizontal="center" vertical="center" wrapText="1"/>
    </xf>
    <xf numFmtId="15" fontId="0" fillId="22" borderId="131" xfId="0" applyNumberFormat="1" applyFont="1" applyFill="1" applyBorder="1" applyAlignment="1">
      <alignment horizontal="center" vertical="center"/>
    </xf>
    <xf numFmtId="0" fontId="0" fillId="22" borderId="207" xfId="0" applyFont="1" applyFill="1" applyBorder="1" applyAlignment="1">
      <alignment vertical="center" wrapText="1"/>
    </xf>
    <xf numFmtId="0" fontId="0" fillId="0" borderId="3" xfId="0" applyFont="1" applyFill="1" applyBorder="1" applyAlignment="1">
      <alignment vertical="center" wrapText="1"/>
    </xf>
    <xf numFmtId="15" fontId="0" fillId="22" borderId="133" xfId="0" applyNumberFormat="1" applyFont="1" applyFill="1" applyBorder="1" applyAlignment="1">
      <alignment horizontal="center" vertical="center"/>
    </xf>
    <xf numFmtId="9" fontId="0" fillId="22" borderId="135" xfId="0" applyNumberFormat="1" applyFont="1" applyFill="1" applyBorder="1" applyAlignment="1">
      <alignment horizontal="center" vertical="center"/>
    </xf>
    <xf numFmtId="0" fontId="0" fillId="22" borderId="136" xfId="0" applyFont="1" applyFill="1" applyBorder="1" applyAlignment="1">
      <alignment horizontal="center" vertical="center" wrapText="1"/>
    </xf>
    <xf numFmtId="0" fontId="0" fillId="0" borderId="9" xfId="0" applyFont="1" applyFill="1" applyBorder="1" applyAlignment="1">
      <alignment vertical="center" wrapText="1"/>
    </xf>
    <xf numFmtId="9" fontId="0" fillId="22" borderId="19" xfId="0" applyNumberFormat="1" applyFont="1" applyFill="1" applyBorder="1" applyAlignment="1">
      <alignment horizontal="center" vertical="center"/>
    </xf>
    <xf numFmtId="0" fontId="0" fillId="0" borderId="11" xfId="0" applyFont="1" applyFill="1" applyBorder="1" applyAlignment="1">
      <alignment vertical="center" wrapText="1"/>
    </xf>
    <xf numFmtId="9" fontId="56" fillId="22" borderId="20" xfId="28" applyFont="1" applyFill="1" applyBorder="1" applyAlignment="1">
      <alignment horizontal="center" vertical="center"/>
    </xf>
    <xf numFmtId="0" fontId="0" fillId="0" borderId="12" xfId="0" applyFont="1" applyFill="1" applyBorder="1" applyAlignment="1">
      <alignment vertical="center" wrapText="1"/>
    </xf>
    <xf numFmtId="166" fontId="0" fillId="0" borderId="113" xfId="0" applyNumberFormat="1" applyFont="1" applyBorder="1" applyAlignment="1">
      <alignment horizontal="center"/>
    </xf>
    <xf numFmtId="14" fontId="0" fillId="35" borderId="118" xfId="0" applyNumberFormat="1" applyFont="1" applyFill="1" applyBorder="1" applyAlignment="1">
      <alignment horizontal="center" vertical="center"/>
    </xf>
    <xf numFmtId="14" fontId="0" fillId="35" borderId="121" xfId="0" applyNumberFormat="1" applyFont="1" applyFill="1" applyBorder="1" applyAlignment="1">
      <alignment horizontal="center" vertical="center"/>
    </xf>
    <xf numFmtId="14" fontId="0" fillId="35" borderId="126" xfId="0" applyNumberFormat="1" applyFont="1" applyFill="1" applyBorder="1" applyAlignment="1">
      <alignment horizontal="center" vertical="center"/>
    </xf>
    <xf numFmtId="14" fontId="0" fillId="35" borderId="130" xfId="0" applyNumberFormat="1" applyFont="1" applyFill="1" applyBorder="1" applyAlignment="1">
      <alignment horizontal="center" vertical="center"/>
    </xf>
    <xf numFmtId="14" fontId="0" fillId="35" borderId="135" xfId="0" applyNumberFormat="1" applyFont="1" applyFill="1" applyBorder="1" applyAlignment="1">
      <alignment horizontal="center" vertical="center"/>
    </xf>
    <xf numFmtId="14" fontId="0" fillId="35" borderId="133" xfId="0" applyNumberFormat="1" applyFont="1" applyFill="1" applyBorder="1" applyAlignment="1">
      <alignment horizontal="center" vertical="center"/>
    </xf>
    <xf numFmtId="14" fontId="0" fillId="35" borderId="166" xfId="0" applyNumberFormat="1" applyFont="1" applyFill="1" applyBorder="1" applyAlignment="1">
      <alignment horizontal="center" vertical="center"/>
    </xf>
    <xf numFmtId="14" fontId="0" fillId="35" borderId="167" xfId="0" applyNumberFormat="1" applyFont="1" applyFill="1" applyBorder="1" applyAlignment="1">
      <alignment horizontal="center" vertical="center"/>
    </xf>
    <xf numFmtId="14" fontId="0" fillId="35" borderId="208" xfId="0" applyNumberFormat="1" applyFont="1" applyFill="1" applyBorder="1" applyAlignment="1">
      <alignment horizontal="center" vertical="center"/>
    </xf>
    <xf numFmtId="14" fontId="0" fillId="35" borderId="204" xfId="0" applyNumberFormat="1" applyFont="1" applyFill="1" applyBorder="1" applyAlignment="1">
      <alignment horizontal="center" vertical="center"/>
    </xf>
    <xf numFmtId="14" fontId="0" fillId="35" borderId="209" xfId="0" applyNumberFormat="1" applyFont="1" applyFill="1" applyBorder="1" applyAlignment="1">
      <alignment horizontal="center" vertical="center"/>
    </xf>
    <xf numFmtId="14" fontId="0" fillId="35" borderId="122" xfId="0" applyNumberFormat="1" applyFont="1" applyFill="1" applyBorder="1" applyAlignment="1">
      <alignment horizontal="center" vertical="center"/>
    </xf>
    <xf numFmtId="14" fontId="0" fillId="35" borderId="210" xfId="0" applyNumberFormat="1" applyFont="1" applyFill="1" applyBorder="1" applyAlignment="1">
      <alignment horizontal="center" vertical="center"/>
    </xf>
    <xf numFmtId="14" fontId="0" fillId="35" borderId="128" xfId="0" applyNumberFormat="1" applyFont="1" applyFill="1" applyBorder="1" applyAlignment="1">
      <alignment horizontal="center" vertical="center"/>
    </xf>
    <xf numFmtId="0" fontId="0" fillId="35" borderId="118" xfId="0" applyFont="1" applyFill="1" applyBorder="1" applyAlignment="1">
      <alignment vertical="center"/>
    </xf>
    <xf numFmtId="0" fontId="0" fillId="35" borderId="122" xfId="0" applyFont="1" applyFill="1" applyBorder="1" applyAlignment="1">
      <alignment vertical="center"/>
    </xf>
    <xf numFmtId="14" fontId="0" fillId="35" borderId="133" xfId="0" applyNumberFormat="1" applyFont="1" applyFill="1" applyBorder="1" applyAlignment="1">
      <alignment vertical="center"/>
    </xf>
    <xf numFmtId="0" fontId="86" fillId="13" borderId="0" xfId="0" applyFont="1" applyFill="1" applyBorder="1" applyAlignment="1"/>
    <xf numFmtId="0" fontId="0" fillId="13" borderId="0" xfId="0" applyFont="1" applyFill="1" applyAlignment="1"/>
    <xf numFmtId="0" fontId="0" fillId="22" borderId="20" xfId="0" applyFont="1" applyFill="1" applyBorder="1" applyAlignment="1">
      <alignment horizontal="left" vertical="center"/>
    </xf>
    <xf numFmtId="9" fontId="0" fillId="13" borderId="3" xfId="0" applyNumberFormat="1" applyFont="1" applyFill="1" applyBorder="1" applyAlignment="1">
      <alignment horizontal="center" vertical="center"/>
    </xf>
    <xf numFmtId="0" fontId="86" fillId="13" borderId="3" xfId="0" applyFont="1" applyFill="1" applyBorder="1" applyAlignment="1">
      <alignment horizontal="center" vertical="center"/>
    </xf>
    <xf numFmtId="0" fontId="112" fillId="22" borderId="3" xfId="0" applyFont="1" applyFill="1" applyBorder="1" applyAlignment="1">
      <alignment horizontal="center" vertical="center"/>
    </xf>
    <xf numFmtId="166" fontId="56" fillId="0" borderId="0" xfId="28" applyNumberFormat="1" applyFont="1" applyAlignment="1">
      <alignment horizontal="center" vertical="center"/>
    </xf>
    <xf numFmtId="166" fontId="56" fillId="0" borderId="0" xfId="28" applyNumberFormat="1" applyFont="1" applyAlignment="1">
      <alignment vertical="center"/>
    </xf>
    <xf numFmtId="166" fontId="56" fillId="0" borderId="211" xfId="28" applyNumberFormat="1" applyFont="1" applyBorder="1" applyAlignment="1">
      <alignment horizontal="center" vertical="center"/>
    </xf>
    <xf numFmtId="0" fontId="0" fillId="35" borderId="212" xfId="0" applyFont="1" applyFill="1" applyBorder="1" applyAlignment="1">
      <alignment horizontal="center" vertical="center"/>
    </xf>
    <xf numFmtId="9" fontId="0" fillId="22" borderId="9" xfId="0" applyNumberFormat="1" applyFont="1" applyFill="1" applyBorder="1" applyAlignment="1">
      <alignment horizontal="center" vertical="center"/>
    </xf>
    <xf numFmtId="0" fontId="0" fillId="35" borderId="213" xfId="0" applyFont="1" applyFill="1" applyBorder="1" applyAlignment="1">
      <alignment horizontal="center" vertical="center"/>
    </xf>
    <xf numFmtId="9" fontId="0" fillId="0" borderId="214" xfId="0" applyNumberFormat="1" applyFont="1" applyBorder="1" applyAlignment="1">
      <alignment horizontal="center" vertical="center"/>
    </xf>
    <xf numFmtId="0" fontId="0" fillId="0" borderId="9" xfId="0" applyFont="1" applyBorder="1"/>
    <xf numFmtId="166" fontId="56" fillId="34" borderId="3" xfId="28" applyNumberFormat="1" applyFont="1" applyFill="1" applyBorder="1" applyAlignment="1">
      <alignment horizontal="center" vertical="center"/>
    </xf>
    <xf numFmtId="0" fontId="86" fillId="22" borderId="3" xfId="0" applyFont="1" applyFill="1" applyBorder="1"/>
    <xf numFmtId="9" fontId="56" fillId="0" borderId="0" xfId="28" applyFont="1" applyAlignment="1">
      <alignment vertical="center"/>
    </xf>
    <xf numFmtId="0" fontId="94" fillId="28" borderId="13" xfId="0" applyFont="1" applyFill="1" applyBorder="1" applyAlignment="1">
      <alignment horizontal="left" vertical="center" wrapText="1" readingOrder="1"/>
    </xf>
    <xf numFmtId="0" fontId="66" fillId="28" borderId="148" xfId="0" applyFont="1" applyFill="1" applyBorder="1" applyAlignment="1">
      <alignment horizontal="center" vertical="center"/>
    </xf>
    <xf numFmtId="0" fontId="80" fillId="28" borderId="13" xfId="0" applyFont="1" applyFill="1" applyBorder="1" applyAlignment="1">
      <alignment horizontal="center" vertical="center"/>
    </xf>
    <xf numFmtId="15" fontId="66" fillId="28" borderId="19" xfId="0" applyNumberFormat="1" applyFont="1" applyFill="1" applyBorder="1" applyAlignment="1">
      <alignment horizontal="center" vertical="center" wrapText="1"/>
    </xf>
    <xf numFmtId="0" fontId="66" fillId="28" borderId="12" xfId="0" applyFont="1" applyFill="1" applyBorder="1" applyAlignment="1">
      <alignment horizontal="left" vertical="center" wrapText="1"/>
    </xf>
    <xf numFmtId="0" fontId="94" fillId="28" borderId="15" xfId="0" applyFont="1" applyFill="1" applyBorder="1" applyAlignment="1">
      <alignment horizontal="left" vertical="center" wrapText="1" readingOrder="1"/>
    </xf>
    <xf numFmtId="0" fontId="66" fillId="28" borderId="121" xfId="0" applyFont="1" applyFill="1" applyBorder="1" applyAlignment="1">
      <alignment horizontal="center" vertical="center"/>
    </xf>
    <xf numFmtId="0" fontId="80" fillId="28" borderId="15" xfId="0" applyFont="1" applyFill="1" applyBorder="1" applyAlignment="1">
      <alignment horizontal="center" vertical="center"/>
    </xf>
    <xf numFmtId="15" fontId="66" fillId="28" borderId="20" xfId="0" applyNumberFormat="1" applyFont="1" applyFill="1" applyBorder="1" applyAlignment="1">
      <alignment horizontal="center" vertical="center" wrapText="1"/>
    </xf>
    <xf numFmtId="0" fontId="66" fillId="28" borderId="3" xfId="0" applyFont="1" applyFill="1" applyBorder="1" applyAlignment="1">
      <alignment horizontal="left" vertical="center" wrapText="1"/>
    </xf>
    <xf numFmtId="0" fontId="80" fillId="28" borderId="3" xfId="0" applyFont="1" applyFill="1" applyBorder="1" applyAlignment="1">
      <alignment horizontal="center" vertical="center"/>
    </xf>
    <xf numFmtId="0" fontId="94" fillId="28" borderId="65" xfId="0" applyFont="1" applyFill="1" applyBorder="1" applyAlignment="1">
      <alignment horizontal="left" vertical="center" wrapText="1" readingOrder="1"/>
    </xf>
    <xf numFmtId="0" fontId="66" fillId="28" borderId="127" xfId="0" applyFont="1" applyFill="1" applyBorder="1" applyAlignment="1">
      <alignment horizontal="center" vertical="center"/>
    </xf>
    <xf numFmtId="0" fontId="80" fillId="28" borderId="9" xfId="0" applyFont="1" applyFill="1" applyBorder="1" applyAlignment="1">
      <alignment horizontal="center" vertical="center"/>
    </xf>
    <xf numFmtId="15" fontId="66" fillId="28" borderId="35" xfId="0" applyNumberFormat="1" applyFont="1" applyFill="1" applyBorder="1" applyAlignment="1">
      <alignment horizontal="center" vertical="center" wrapText="1"/>
    </xf>
    <xf numFmtId="0" fontId="59" fillId="8" borderId="9" xfId="6" applyFont="1" applyBorder="1" applyAlignment="1">
      <alignment horizontal="center" vertical="center" wrapText="1"/>
    </xf>
    <xf numFmtId="9" fontId="68" fillId="8" borderId="9" xfId="28" applyFont="1" applyFill="1" applyBorder="1" applyAlignment="1">
      <alignment horizontal="center" vertical="center" wrapText="1"/>
    </xf>
    <xf numFmtId="14" fontId="0" fillId="22" borderId="3" xfId="0" applyNumberFormat="1" applyFont="1" applyFill="1" applyBorder="1" applyAlignment="1">
      <alignment horizontal="center" vertical="center" wrapText="1"/>
    </xf>
    <xf numFmtId="0" fontId="112" fillId="22" borderId="26" xfId="0" applyFont="1" applyFill="1" applyBorder="1" applyAlignment="1">
      <alignment horizontal="center" vertical="center" wrapText="1"/>
    </xf>
    <xf numFmtId="9" fontId="0" fillId="22" borderId="15" xfId="0" applyNumberFormat="1" applyFont="1" applyFill="1" applyBorder="1" applyAlignment="1">
      <alignment horizontal="center" vertical="center"/>
    </xf>
    <xf numFmtId="15" fontId="0" fillId="22" borderId="20" xfId="0" applyNumberFormat="1" applyFont="1" applyFill="1" applyBorder="1" applyAlignment="1">
      <alignment horizontal="center" vertical="center"/>
    </xf>
    <xf numFmtId="0" fontId="0" fillId="0" borderId="10" xfId="0" applyFont="1" applyBorder="1" applyAlignment="1">
      <alignment horizontal="left" vertical="center" wrapText="1"/>
    </xf>
    <xf numFmtId="0" fontId="95" fillId="22" borderId="3" xfId="0" applyFont="1" applyFill="1" applyBorder="1" applyAlignment="1">
      <alignment horizontal="left" vertical="center" wrapText="1" readingOrder="1"/>
    </xf>
    <xf numFmtId="15" fontId="95" fillId="22" borderId="3" xfId="0" applyNumberFormat="1" applyFont="1" applyFill="1" applyBorder="1" applyAlignment="1">
      <alignment horizontal="center" vertical="center" wrapText="1" readingOrder="1"/>
    </xf>
    <xf numFmtId="9" fontId="86" fillId="13" borderId="0" xfId="28" applyFont="1" applyFill="1" applyBorder="1" applyAlignment="1">
      <alignment vertical="center"/>
    </xf>
    <xf numFmtId="0" fontId="0" fillId="22" borderId="10" xfId="0" applyFont="1" applyFill="1" applyBorder="1" applyAlignment="1">
      <alignment vertical="center"/>
    </xf>
    <xf numFmtId="0" fontId="0" fillId="22" borderId="0" xfId="0" applyFont="1" applyFill="1" applyBorder="1" applyAlignment="1">
      <alignment vertical="center"/>
    </xf>
    <xf numFmtId="0" fontId="66" fillId="28" borderId="147" xfId="0" applyFont="1" applyFill="1" applyBorder="1" applyAlignment="1">
      <alignment vertical="center"/>
    </xf>
    <xf numFmtId="0" fontId="66" fillId="28" borderId="148" xfId="0" applyFont="1" applyFill="1" applyBorder="1" applyAlignment="1">
      <alignment vertical="center"/>
    </xf>
    <xf numFmtId="0" fontId="66" fillId="28" borderId="150" xfId="0" applyFont="1" applyFill="1" applyBorder="1" applyAlignment="1">
      <alignment vertical="center"/>
    </xf>
    <xf numFmtId="0" fontId="66" fillId="28" borderId="121" xfId="0" applyFont="1" applyFill="1" applyBorder="1" applyAlignment="1">
      <alignment vertical="center"/>
    </xf>
    <xf numFmtId="0" fontId="66" fillId="28" borderId="152" xfId="0" applyFont="1" applyFill="1" applyBorder="1" applyAlignment="1">
      <alignment vertical="center"/>
    </xf>
    <xf numFmtId="0" fontId="66" fillId="28" borderId="127" xfId="0" applyFont="1" applyFill="1" applyBorder="1" applyAlignment="1">
      <alignment vertical="center"/>
    </xf>
    <xf numFmtId="0" fontId="113" fillId="0" borderId="10" xfId="0" applyFont="1" applyBorder="1" applyAlignment="1">
      <alignment horizontal="left" vertical="center"/>
    </xf>
    <xf numFmtId="0" fontId="0" fillId="0" borderId="10" xfId="0" applyFont="1" applyBorder="1"/>
    <xf numFmtId="0" fontId="0" fillId="22" borderId="65" xfId="0" applyFont="1" applyFill="1" applyBorder="1" applyAlignment="1">
      <alignment vertical="center"/>
    </xf>
    <xf numFmtId="0" fontId="0" fillId="0" borderId="10" xfId="0" applyFont="1" applyBorder="1" applyAlignment="1">
      <alignment horizontal="center" vertical="center"/>
    </xf>
    <xf numFmtId="0" fontId="113" fillId="0" borderId="10" xfId="0" applyFont="1" applyBorder="1" applyAlignment="1">
      <alignment horizontal="center" vertical="center"/>
    </xf>
    <xf numFmtId="0" fontId="112" fillId="0" borderId="10" xfId="0" applyFont="1" applyBorder="1" applyAlignment="1">
      <alignment horizontal="center" vertical="center"/>
    </xf>
    <xf numFmtId="15" fontId="0" fillId="27" borderId="20" xfId="0" applyNumberFormat="1" applyFont="1" applyFill="1" applyBorder="1" applyAlignment="1">
      <alignment horizontal="center" vertical="center" wrapText="1"/>
    </xf>
    <xf numFmtId="9" fontId="56" fillId="0" borderId="162" xfId="28" applyFont="1" applyBorder="1" applyAlignment="1">
      <alignment horizontal="center" vertical="center"/>
    </xf>
    <xf numFmtId="0" fontId="0" fillId="0" borderId="131" xfId="0" applyFont="1" applyBorder="1" applyAlignment="1">
      <alignment vertical="center" wrapText="1"/>
    </xf>
    <xf numFmtId="0" fontId="0" fillId="0" borderId="163" xfId="0" applyFont="1" applyBorder="1" applyAlignment="1">
      <alignment horizontal="center" vertical="center"/>
    </xf>
    <xf numFmtId="0" fontId="0" fillId="0" borderId="164" xfId="0" applyFont="1" applyBorder="1" applyAlignment="1">
      <alignment horizontal="center" vertical="center"/>
    </xf>
    <xf numFmtId="0" fontId="0" fillId="0" borderId="130" xfId="0" applyFont="1" applyBorder="1" applyAlignment="1">
      <alignment horizontal="center" vertical="center"/>
    </xf>
    <xf numFmtId="9" fontId="56" fillId="0" borderId="133" xfId="28" applyFont="1" applyBorder="1" applyAlignment="1">
      <alignment horizontal="center" vertical="center"/>
    </xf>
    <xf numFmtId="0" fontId="0" fillId="0" borderId="134" xfId="0" applyFont="1" applyBorder="1" applyAlignment="1">
      <alignment vertical="center" wrapText="1"/>
    </xf>
    <xf numFmtId="0" fontId="0" fillId="0" borderId="133" xfId="0" applyFont="1" applyBorder="1" applyAlignment="1">
      <alignment horizontal="center" vertical="center"/>
    </xf>
    <xf numFmtId="0" fontId="0" fillId="0" borderId="135" xfId="0" applyFont="1" applyBorder="1" applyAlignment="1">
      <alignment horizontal="center" vertical="center"/>
    </xf>
    <xf numFmtId="15" fontId="0" fillId="27" borderId="156" xfId="0" applyNumberFormat="1" applyFont="1" applyFill="1" applyBorder="1" applyAlignment="1">
      <alignment horizontal="center" vertical="center"/>
    </xf>
    <xf numFmtId="15" fontId="0" fillId="27" borderId="154" xfId="0" applyNumberFormat="1" applyFont="1" applyFill="1" applyBorder="1" applyAlignment="1">
      <alignment horizontal="center" vertical="center"/>
    </xf>
    <xf numFmtId="15" fontId="0" fillId="27" borderId="154" xfId="0" applyNumberFormat="1" applyFont="1" applyFill="1" applyBorder="1" applyAlignment="1">
      <alignment horizontal="center" vertical="center" wrapText="1"/>
    </xf>
    <xf numFmtId="15" fontId="0" fillId="27" borderId="155" xfId="0" applyNumberFormat="1" applyFont="1" applyFill="1" applyBorder="1" applyAlignment="1">
      <alignment horizontal="center" vertical="center"/>
    </xf>
    <xf numFmtId="0" fontId="0" fillId="35" borderId="160" xfId="0" applyFont="1" applyFill="1" applyBorder="1" applyAlignment="1">
      <alignment horizontal="center" vertical="center"/>
    </xf>
    <xf numFmtId="0" fontId="0" fillId="35" borderId="150" xfId="0" applyFont="1" applyFill="1" applyBorder="1" applyAlignment="1">
      <alignment horizontal="center" vertical="center"/>
    </xf>
    <xf numFmtId="17" fontId="0" fillId="35" borderId="122" xfId="0" applyNumberFormat="1" applyFont="1" applyFill="1" applyBorder="1" applyAlignment="1">
      <alignment horizontal="center" vertical="center"/>
    </xf>
    <xf numFmtId="0" fontId="0" fillId="35" borderId="161" xfId="0" applyFont="1" applyFill="1" applyBorder="1" applyAlignment="1">
      <alignment horizontal="center" vertical="center"/>
    </xf>
    <xf numFmtId="0" fontId="95" fillId="22" borderId="9" xfId="0" applyFont="1" applyFill="1" applyBorder="1" applyAlignment="1">
      <alignment horizontal="left" vertical="center" wrapText="1"/>
    </xf>
    <xf numFmtId="0" fontId="0" fillId="35" borderId="152" xfId="0" applyFont="1" applyFill="1" applyBorder="1" applyAlignment="1">
      <alignment horizontal="center" vertical="center"/>
    </xf>
    <xf numFmtId="17" fontId="0" fillId="35" borderId="128" xfId="0" applyNumberFormat="1" applyFont="1" applyFill="1" applyBorder="1" applyAlignment="1">
      <alignment horizontal="center" vertical="center"/>
    </xf>
    <xf numFmtId="17" fontId="0" fillId="35" borderId="118" xfId="0" applyNumberFormat="1" applyFont="1" applyFill="1" applyBorder="1" applyAlignment="1">
      <alignment horizontal="center" vertical="center"/>
    </xf>
    <xf numFmtId="0" fontId="0" fillId="22" borderId="112" xfId="0" applyFont="1" applyFill="1" applyBorder="1" applyAlignment="1">
      <alignment horizontal="center" vertical="center"/>
    </xf>
    <xf numFmtId="0" fontId="0" fillId="22" borderId="3" xfId="0" applyFont="1" applyFill="1" applyBorder="1" applyAlignment="1">
      <alignment horizontal="center" vertical="center"/>
    </xf>
    <xf numFmtId="9" fontId="0" fillId="22" borderId="3" xfId="0" applyNumberFormat="1" applyFont="1" applyFill="1" applyBorder="1" applyAlignment="1">
      <alignment horizontal="center" vertical="center"/>
    </xf>
    <xf numFmtId="10" fontId="86" fillId="29" borderId="3" xfId="28" applyNumberFormat="1" applyFont="1" applyFill="1" applyBorder="1" applyAlignment="1">
      <alignment horizontal="center" vertical="center"/>
    </xf>
    <xf numFmtId="0" fontId="0" fillId="0" borderId="134" xfId="0" applyFont="1" applyBorder="1" applyAlignment="1">
      <alignment vertical="center"/>
    </xf>
    <xf numFmtId="0" fontId="0" fillId="0" borderId="136" xfId="0" applyFont="1" applyBorder="1" applyAlignment="1">
      <alignment vertical="center"/>
    </xf>
    <xf numFmtId="9" fontId="0" fillId="22" borderId="129" xfId="0" applyNumberFormat="1" applyFont="1" applyFill="1" applyBorder="1" applyAlignment="1">
      <alignment horizontal="center" vertical="center"/>
    </xf>
    <xf numFmtId="15" fontId="0" fillId="33" borderId="20" xfId="0" applyNumberFormat="1" applyFont="1" applyFill="1" applyBorder="1" applyAlignment="1">
      <alignment horizontal="center" vertical="center" wrapText="1"/>
    </xf>
    <xf numFmtId="9" fontId="0" fillId="22" borderId="132" xfId="0" applyNumberFormat="1" applyFont="1" applyFill="1" applyBorder="1" applyAlignment="1">
      <alignment horizontal="center" vertical="center"/>
    </xf>
    <xf numFmtId="0" fontId="112" fillId="22" borderId="15" xfId="0" applyFont="1" applyFill="1" applyBorder="1" applyAlignment="1">
      <alignment horizontal="left" vertical="center" wrapText="1" readingOrder="1"/>
    </xf>
    <xf numFmtId="9" fontId="0" fillId="22" borderId="215" xfId="0" applyNumberFormat="1" applyFont="1" applyFill="1" applyBorder="1" applyAlignment="1">
      <alignment horizontal="center" vertical="center"/>
    </xf>
    <xf numFmtId="0" fontId="0" fillId="22" borderId="216" xfId="0" applyFont="1" applyFill="1" applyBorder="1" applyAlignment="1">
      <alignment horizontal="center" vertical="center"/>
    </xf>
    <xf numFmtId="0" fontId="0" fillId="35" borderId="147" xfId="0" applyFont="1" applyFill="1" applyBorder="1" applyAlignment="1">
      <alignment horizontal="center" vertical="center"/>
    </xf>
    <xf numFmtId="0" fontId="0" fillId="35" borderId="204" xfId="0" applyFont="1" applyFill="1" applyBorder="1" applyAlignment="1">
      <alignment horizontal="center" vertical="center"/>
    </xf>
    <xf numFmtId="166" fontId="56" fillId="18" borderId="0" xfId="28" applyNumberFormat="1" applyFont="1" applyFill="1" applyAlignment="1">
      <alignment horizontal="center"/>
    </xf>
    <xf numFmtId="0" fontId="112" fillId="22" borderId="65" xfId="0" applyFont="1" applyFill="1" applyBorder="1" applyAlignment="1">
      <alignment horizontal="left" vertical="center" wrapText="1" readingOrder="1"/>
    </xf>
    <xf numFmtId="0" fontId="0" fillId="22" borderId="139" xfId="0" applyFont="1" applyFill="1" applyBorder="1" applyAlignment="1">
      <alignment horizontal="center" vertical="center"/>
    </xf>
    <xf numFmtId="15" fontId="0" fillId="33" borderId="35" xfId="0" applyNumberFormat="1" applyFont="1" applyFill="1" applyBorder="1" applyAlignment="1">
      <alignment horizontal="center" vertical="center" wrapText="1"/>
    </xf>
    <xf numFmtId="9" fontId="56" fillId="0" borderId="9" xfId="28" applyFont="1" applyBorder="1" applyAlignment="1">
      <alignment horizontal="center" vertical="center"/>
    </xf>
    <xf numFmtId="0" fontId="0" fillId="0" borderId="9" xfId="0" applyFont="1" applyBorder="1" applyAlignment="1">
      <alignment vertical="center"/>
    </xf>
    <xf numFmtId="10" fontId="56" fillId="29" borderId="3" xfId="28" applyNumberFormat="1" applyFont="1" applyFill="1" applyBorder="1" applyAlignment="1">
      <alignment horizontal="center" vertical="center"/>
    </xf>
    <xf numFmtId="15" fontId="0" fillId="32" borderId="63" xfId="0" applyNumberFormat="1" applyFont="1" applyFill="1" applyBorder="1" applyAlignment="1">
      <alignment horizontal="center" vertical="center" wrapText="1"/>
    </xf>
    <xf numFmtId="15" fontId="0" fillId="32" borderId="20" xfId="0" applyNumberFormat="1" applyFont="1" applyFill="1" applyBorder="1" applyAlignment="1">
      <alignment horizontal="center" vertical="center" wrapText="1"/>
    </xf>
    <xf numFmtId="10" fontId="0" fillId="0" borderId="0" xfId="0" applyNumberFormat="1" applyFont="1" applyAlignment="1">
      <alignment horizontal="center" vertical="center"/>
    </xf>
    <xf numFmtId="15" fontId="0" fillId="32" borderId="62" xfId="0" applyNumberFormat="1" applyFont="1" applyFill="1" applyBorder="1" applyAlignment="1">
      <alignment horizontal="center" vertical="center" wrapText="1"/>
    </xf>
    <xf numFmtId="0" fontId="0" fillId="32" borderId="21" xfId="0" applyFont="1" applyFill="1" applyBorder="1" applyAlignment="1">
      <alignment horizontal="center" vertical="center" wrapText="1"/>
    </xf>
    <xf numFmtId="9" fontId="0" fillId="0" borderId="0" xfId="0" applyNumberFormat="1" applyFont="1" applyAlignment="1">
      <alignment horizontal="center" vertical="center" wrapText="1"/>
    </xf>
    <xf numFmtId="0" fontId="0" fillId="35" borderId="113" xfId="0" applyFont="1" applyFill="1" applyBorder="1" applyAlignment="1">
      <alignment horizontal="center" vertical="center"/>
    </xf>
    <xf numFmtId="9" fontId="56" fillId="22" borderId="3" xfId="28" applyFont="1" applyFill="1" applyBorder="1" applyAlignment="1">
      <alignment horizontal="center" vertical="center" wrapText="1"/>
    </xf>
    <xf numFmtId="9" fontId="56" fillId="0" borderId="3" xfId="28" applyNumberFormat="1" applyFont="1" applyBorder="1" applyAlignment="1">
      <alignment horizontal="center" vertical="center"/>
    </xf>
    <xf numFmtId="166" fontId="86" fillId="18" borderId="0" xfId="28" applyNumberFormat="1" applyFont="1" applyFill="1" applyBorder="1" applyAlignment="1">
      <alignment horizontal="center" vertical="center" wrapText="1"/>
    </xf>
    <xf numFmtId="166" fontId="86" fillId="13" borderId="0" xfId="28" applyNumberFormat="1" applyFont="1" applyFill="1" applyBorder="1" applyAlignment="1">
      <alignment vertical="center"/>
    </xf>
    <xf numFmtId="0" fontId="0" fillId="13" borderId="0" xfId="0" applyFont="1" applyFill="1" applyAlignment="1">
      <alignment horizontal="center"/>
    </xf>
    <xf numFmtId="9" fontId="0" fillId="13" borderId="0" xfId="0" applyNumberFormat="1" applyFont="1" applyFill="1" applyAlignment="1">
      <alignment horizontal="center"/>
    </xf>
    <xf numFmtId="9" fontId="112" fillId="0" borderId="3" xfId="28" applyFont="1" applyBorder="1" applyAlignment="1">
      <alignment horizontal="center" vertical="center" wrapText="1"/>
    </xf>
    <xf numFmtId="0" fontId="112" fillId="0" borderId="3" xfId="0" applyFont="1" applyBorder="1" applyAlignment="1">
      <alignment horizontal="center" vertical="center" wrapText="1"/>
    </xf>
    <xf numFmtId="0" fontId="112" fillId="0" borderId="3" xfId="6" applyFont="1" applyFill="1" applyBorder="1" applyAlignment="1">
      <alignment horizontal="left" vertical="center" wrapText="1"/>
    </xf>
    <xf numFmtId="0" fontId="112" fillId="0" borderId="3" xfId="0" applyFont="1" applyBorder="1"/>
    <xf numFmtId="0" fontId="86" fillId="13" borderId="0" xfId="0" applyFont="1" applyFill="1" applyAlignment="1">
      <alignment horizontal="center"/>
    </xf>
    <xf numFmtId="9" fontId="86" fillId="13" borderId="0" xfId="0" applyNumberFormat="1" applyFont="1" applyFill="1" applyAlignment="1">
      <alignment horizontal="center"/>
    </xf>
    <xf numFmtId="0" fontId="0" fillId="0" borderId="0" xfId="0" applyFont="1" applyAlignment="1">
      <alignment horizontal="center" vertical="center" wrapText="1"/>
    </xf>
    <xf numFmtId="0" fontId="0" fillId="0" borderId="3" xfId="0" applyFont="1" applyFill="1" applyBorder="1" applyAlignment="1">
      <alignment horizontal="center" vertical="center" wrapText="1"/>
    </xf>
    <xf numFmtId="0" fontId="112" fillId="0" borderId="3" xfId="0" applyFont="1" applyFill="1" applyBorder="1" applyAlignment="1">
      <alignment horizontal="center" vertical="center" wrapText="1"/>
    </xf>
    <xf numFmtId="9" fontId="112" fillId="0" borderId="3" xfId="0" applyNumberFormat="1" applyFont="1" applyFill="1" applyBorder="1" applyAlignment="1">
      <alignment horizontal="center" vertical="center" wrapText="1"/>
    </xf>
    <xf numFmtId="1" fontId="112" fillId="0" borderId="3" xfId="0" applyNumberFormat="1" applyFont="1" applyFill="1" applyBorder="1" applyAlignment="1">
      <alignment horizontal="center" vertical="center" wrapText="1"/>
    </xf>
    <xf numFmtId="0" fontId="0" fillId="0" borderId="15" xfId="0" applyFont="1" applyFill="1" applyBorder="1" applyAlignment="1">
      <alignment horizontal="left" vertical="center" wrapText="1"/>
    </xf>
    <xf numFmtId="0" fontId="0" fillId="35" borderId="109" xfId="0" applyFont="1" applyFill="1" applyBorder="1" applyAlignment="1">
      <alignment horizontal="center" vertical="center" wrapText="1"/>
    </xf>
    <xf numFmtId="166" fontId="56" fillId="18" borderId="0" xfId="28" applyNumberFormat="1" applyFont="1" applyFill="1" applyBorder="1" applyAlignment="1">
      <alignment horizontal="center" vertical="center" wrapText="1"/>
    </xf>
    <xf numFmtId="166" fontId="56" fillId="18" borderId="0" xfId="28" applyNumberFormat="1" applyFont="1" applyFill="1" applyBorder="1" applyAlignment="1">
      <alignment horizontal="center" vertical="center" wrapText="1"/>
    </xf>
    <xf numFmtId="166" fontId="56" fillId="18" borderId="0" xfId="28" applyNumberFormat="1" applyFont="1" applyFill="1" applyAlignment="1">
      <alignment horizontal="center" vertical="center"/>
    </xf>
    <xf numFmtId="166" fontId="56" fillId="18" borderId="0" xfId="28" applyNumberFormat="1" applyFont="1" applyFill="1" applyAlignment="1">
      <alignment horizontal="center" vertical="center" wrapText="1"/>
    </xf>
    <xf numFmtId="10" fontId="86" fillId="18" borderId="113" xfId="0" applyNumberFormat="1" applyFont="1" applyFill="1" applyBorder="1" applyAlignment="1">
      <alignment horizontal="center" vertical="center"/>
    </xf>
    <xf numFmtId="166" fontId="56" fillId="18" borderId="0" xfId="28" applyNumberFormat="1" applyFont="1" applyFill="1" applyAlignment="1">
      <alignment horizontal="center" vertical="center"/>
    </xf>
    <xf numFmtId="0" fontId="0" fillId="35" borderId="126" xfId="0" applyFont="1" applyFill="1" applyBorder="1" applyAlignment="1">
      <alignment vertical="center"/>
    </xf>
    <xf numFmtId="0" fontId="0" fillId="22" borderId="129" xfId="0" applyFont="1" applyFill="1" applyBorder="1" applyAlignment="1">
      <alignment vertical="center" wrapText="1"/>
    </xf>
    <xf numFmtId="0" fontId="0" fillId="22" borderId="131" xfId="0" applyFont="1" applyFill="1" applyBorder="1" applyAlignment="1">
      <alignment horizontal="center" vertical="center" wrapText="1"/>
    </xf>
    <xf numFmtId="0" fontId="0" fillId="0" borderId="11" xfId="0" applyFont="1" applyFill="1" applyBorder="1" applyAlignment="1">
      <alignment vertical="center" wrapText="1"/>
    </xf>
    <xf numFmtId="166" fontId="56" fillId="18" borderId="0" xfId="28" applyNumberFormat="1" applyFont="1" applyFill="1" applyAlignment="1">
      <alignment horizontal="center" vertical="center" wrapText="1"/>
    </xf>
    <xf numFmtId="9" fontId="0" fillId="0" borderId="0" xfId="0" applyNumberFormat="1" applyFont="1" applyAlignment="1">
      <alignment horizontal="center"/>
    </xf>
    <xf numFmtId="0" fontId="86" fillId="0" borderId="0" xfId="21" applyFont="1" applyAlignment="1">
      <alignment horizontal="center"/>
    </xf>
    <xf numFmtId="0" fontId="56" fillId="0" borderId="0" xfId="21" applyFont="1" applyAlignment="1">
      <alignment horizontal="center"/>
    </xf>
    <xf numFmtId="9" fontId="56" fillId="0" borderId="0" xfId="21" applyNumberFormat="1" applyFont="1" applyAlignment="1">
      <alignment horizontal="center"/>
    </xf>
    <xf numFmtId="10" fontId="56" fillId="0" borderId="0" xfId="21" applyNumberFormat="1" applyFont="1" applyAlignment="1">
      <alignment horizontal="center"/>
    </xf>
    <xf numFmtId="0" fontId="0" fillId="38" borderId="3" xfId="0" applyFont="1" applyFill="1" applyBorder="1" applyAlignment="1">
      <alignment horizontal="center" vertical="center"/>
    </xf>
    <xf numFmtId="0" fontId="0" fillId="38" borderId="3" xfId="0" applyFont="1" applyFill="1" applyBorder="1" applyAlignment="1">
      <alignment vertical="center" wrapText="1"/>
    </xf>
    <xf numFmtId="0" fontId="0" fillId="24" borderId="3" xfId="0" applyFont="1" applyFill="1" applyBorder="1" applyAlignment="1">
      <alignment horizontal="center" vertical="center"/>
    </xf>
    <xf numFmtId="0" fontId="0" fillId="24" borderId="3" xfId="0" applyFont="1" applyFill="1" applyBorder="1" applyAlignment="1">
      <alignment vertical="center" wrapText="1"/>
    </xf>
    <xf numFmtId="0" fontId="112" fillId="24" borderId="3" xfId="0" applyFont="1" applyFill="1" applyBorder="1" applyAlignment="1">
      <alignment vertical="center" wrapText="1"/>
    </xf>
    <xf numFmtId="0" fontId="112" fillId="24" borderId="3" xfId="0" applyFont="1" applyFill="1" applyBorder="1" applyAlignment="1">
      <alignment horizontal="center" vertical="center"/>
    </xf>
    <xf numFmtId="0" fontId="0" fillId="31" borderId="3" xfId="0" applyFont="1" applyFill="1" applyBorder="1" applyAlignment="1">
      <alignment vertical="center" wrapText="1"/>
    </xf>
    <xf numFmtId="0" fontId="0" fillId="31" borderId="3" xfId="0" applyFont="1" applyFill="1" applyBorder="1" applyAlignment="1">
      <alignment horizontal="center" vertical="center"/>
    </xf>
    <xf numFmtId="9" fontId="0" fillId="38" borderId="3" xfId="0" applyNumberFormat="1" applyFont="1" applyFill="1" applyBorder="1" applyAlignment="1">
      <alignment horizontal="center" vertical="center"/>
    </xf>
    <xf numFmtId="9" fontId="0" fillId="0" borderId="3" xfId="0" applyNumberFormat="1" applyFont="1" applyFill="1" applyBorder="1" applyAlignment="1">
      <alignment horizontal="left" vertical="center" wrapText="1"/>
    </xf>
    <xf numFmtId="0" fontId="86" fillId="0" borderId="3" xfId="0" applyFont="1" applyFill="1" applyBorder="1" applyAlignment="1">
      <alignment horizontal="left" vertical="center" wrapText="1"/>
    </xf>
    <xf numFmtId="0" fontId="113" fillId="22" borderId="0" xfId="0" applyFont="1" applyFill="1" applyBorder="1" applyAlignment="1">
      <alignment horizontal="left" vertical="center"/>
    </xf>
    <xf numFmtId="0" fontId="113" fillId="22" borderId="0" xfId="0" applyFont="1" applyFill="1" applyBorder="1" applyAlignment="1">
      <alignment vertical="center"/>
    </xf>
    <xf numFmtId="0" fontId="113" fillId="0" borderId="3" xfId="0" applyFont="1" applyBorder="1" applyAlignment="1">
      <alignment horizontal="center" vertical="center" wrapText="1"/>
    </xf>
    <xf numFmtId="0" fontId="113" fillId="0" borderId="3" xfId="0" applyFont="1" applyFill="1" applyBorder="1" applyAlignment="1">
      <alignment horizontal="center" vertical="center" wrapText="1"/>
    </xf>
    <xf numFmtId="0" fontId="113" fillId="24" borderId="3" xfId="0" applyFont="1" applyFill="1" applyBorder="1" applyAlignment="1">
      <alignment horizontal="center" vertical="center" wrapText="1"/>
    </xf>
    <xf numFmtId="0" fontId="0" fillId="24" borderId="3" xfId="0" applyFont="1" applyFill="1" applyBorder="1" applyAlignment="1">
      <alignment horizontal="left" vertical="center" wrapText="1"/>
    </xf>
    <xf numFmtId="9" fontId="112" fillId="0" borderId="3" xfId="9" applyNumberFormat="1" applyFont="1" applyBorder="1" applyAlignment="1">
      <alignment horizontal="center" vertical="center"/>
    </xf>
    <xf numFmtId="166" fontId="56" fillId="18" borderId="0" xfId="28" applyNumberFormat="1" applyFont="1" applyFill="1" applyBorder="1" applyAlignment="1">
      <alignment horizontal="center"/>
    </xf>
    <xf numFmtId="9" fontId="2" fillId="0" borderId="3" xfId="28" applyFont="1" applyBorder="1" applyAlignment="1">
      <alignment horizontal="center" vertical="center"/>
    </xf>
    <xf numFmtId="0" fontId="113" fillId="13" borderId="0" xfId="0" applyFont="1" applyFill="1" applyBorder="1"/>
    <xf numFmtId="0" fontId="113" fillId="13" borderId="0" xfId="0" applyFont="1" applyFill="1" applyBorder="1" applyAlignment="1"/>
    <xf numFmtId="166" fontId="113" fillId="13" borderId="0" xfId="28" applyNumberFormat="1" applyFont="1" applyFill="1" applyBorder="1"/>
    <xf numFmtId="9" fontId="56" fillId="0" borderId="3" xfId="28" applyNumberFormat="1" applyFont="1" applyBorder="1" applyAlignment="1">
      <alignment horizontal="center" vertical="center"/>
    </xf>
    <xf numFmtId="0" fontId="112" fillId="18" borderId="15" xfId="6" applyFont="1" applyFill="1" applyBorder="1" applyAlignment="1">
      <alignment horizontal="left" vertical="center" wrapText="1"/>
    </xf>
    <xf numFmtId="0" fontId="75" fillId="0" borderId="0" xfId="0" applyFont="1" applyAlignment="1">
      <alignment vertical="center"/>
    </xf>
    <xf numFmtId="0" fontId="107" fillId="10" borderId="22" xfId="3" applyFont="1" applyBorder="1" applyAlignment="1">
      <alignment vertical="center"/>
    </xf>
    <xf numFmtId="10" fontId="116" fillId="10" borderId="0" xfId="3" applyNumberFormat="1" applyFont="1" applyBorder="1" applyAlignment="1">
      <alignment horizontal="center" vertical="center"/>
    </xf>
    <xf numFmtId="0" fontId="107" fillId="10" borderId="0" xfId="3" applyFont="1" applyBorder="1" applyAlignment="1">
      <alignment horizontal="center" vertical="center"/>
    </xf>
    <xf numFmtId="0" fontId="75" fillId="0" borderId="216" xfId="0" applyFont="1" applyBorder="1" applyAlignment="1">
      <alignment vertical="center"/>
    </xf>
    <xf numFmtId="0" fontId="75" fillId="0" borderId="22" xfId="0" applyFont="1" applyBorder="1" applyAlignment="1">
      <alignment vertical="center"/>
    </xf>
    <xf numFmtId="10" fontId="75" fillId="0" borderId="0" xfId="0" applyNumberFormat="1" applyFont="1" applyBorder="1" applyAlignment="1">
      <alignment horizontal="center" vertical="center"/>
    </xf>
    <xf numFmtId="0" fontId="75" fillId="0" borderId="0" xfId="0" applyFont="1" applyBorder="1" applyAlignment="1">
      <alignment horizontal="center" vertical="center"/>
    </xf>
    <xf numFmtId="0" fontId="75" fillId="0" borderId="0" xfId="0" applyFont="1" applyBorder="1" applyAlignment="1">
      <alignment vertical="center"/>
    </xf>
    <xf numFmtId="0" fontId="75" fillId="0" borderId="134" xfId="0" applyFont="1" applyBorder="1" applyAlignment="1">
      <alignment vertical="center"/>
    </xf>
    <xf numFmtId="0" fontId="107" fillId="10" borderId="217" xfId="3" applyFont="1" applyBorder="1" applyAlignment="1">
      <alignment vertical="center"/>
    </xf>
    <xf numFmtId="10" fontId="116" fillId="10" borderId="218" xfId="3" applyNumberFormat="1" applyFont="1" applyBorder="1" applyAlignment="1">
      <alignment horizontal="center" vertical="center"/>
    </xf>
    <xf numFmtId="0" fontId="107" fillId="10" borderId="218" xfId="3" applyFont="1" applyBorder="1" applyAlignment="1">
      <alignment horizontal="center" vertical="center"/>
    </xf>
    <xf numFmtId="0" fontId="107" fillId="10" borderId="219" xfId="3" applyFont="1" applyBorder="1" applyAlignment="1">
      <alignment horizontal="center" vertical="center"/>
    </xf>
    <xf numFmtId="0" fontId="107" fillId="10" borderId="220" xfId="3" applyFont="1" applyBorder="1" applyAlignment="1">
      <alignment vertical="center"/>
    </xf>
    <xf numFmtId="10" fontId="116" fillId="10" borderId="221" xfId="3" applyNumberFormat="1" applyFont="1" applyBorder="1" applyAlignment="1">
      <alignment horizontal="center" vertical="center"/>
    </xf>
    <xf numFmtId="0" fontId="107" fillId="10" borderId="221" xfId="3" applyFont="1" applyBorder="1" applyAlignment="1">
      <alignment horizontal="center" vertical="center"/>
    </xf>
    <xf numFmtId="0" fontId="107" fillId="10" borderId="222" xfId="3" applyFont="1" applyBorder="1" applyAlignment="1">
      <alignment horizontal="center" vertical="center"/>
    </xf>
    <xf numFmtId="0" fontId="75" fillId="0" borderId="134" xfId="0" applyFont="1" applyBorder="1" applyAlignment="1">
      <alignment horizontal="center" vertical="center"/>
    </xf>
    <xf numFmtId="0" fontId="75" fillId="0" borderId="134" xfId="0" applyFont="1" applyBorder="1" applyAlignment="1">
      <alignment horizontal="center" vertical="center" wrapText="1"/>
    </xf>
    <xf numFmtId="0" fontId="107" fillId="10" borderId="223" xfId="3" applyFont="1" applyBorder="1" applyAlignment="1">
      <alignment vertical="center"/>
    </xf>
    <xf numFmtId="10" fontId="116" fillId="10" borderId="224" xfId="3" applyNumberFormat="1" applyFont="1" applyBorder="1" applyAlignment="1">
      <alignment horizontal="center" vertical="center"/>
    </xf>
    <xf numFmtId="0" fontId="107" fillId="10" borderId="224" xfId="3" applyFont="1" applyBorder="1" applyAlignment="1">
      <alignment horizontal="center" vertical="center"/>
    </xf>
    <xf numFmtId="0" fontId="107" fillId="10" borderId="225" xfId="3" applyFont="1" applyBorder="1" applyAlignment="1">
      <alignment horizontal="center" vertical="center"/>
    </xf>
    <xf numFmtId="0" fontId="75" fillId="0" borderId="0" xfId="0" applyFont="1" applyFill="1" applyBorder="1" applyAlignment="1">
      <alignment horizontal="center" vertical="center"/>
    </xf>
    <xf numFmtId="0" fontId="75" fillId="0" borderId="22" xfId="0" applyFont="1" applyBorder="1" applyAlignment="1">
      <alignment horizontal="left" vertical="center" wrapText="1"/>
    </xf>
    <xf numFmtId="0" fontId="107" fillId="10" borderId="22" xfId="3" applyFont="1" applyBorder="1" applyAlignment="1">
      <alignment vertical="center" wrapText="1"/>
    </xf>
    <xf numFmtId="10" fontId="75" fillId="0" borderId="0" xfId="0" applyNumberFormat="1" applyFont="1" applyFill="1" applyBorder="1" applyAlignment="1">
      <alignment horizontal="center" vertical="center"/>
    </xf>
    <xf numFmtId="10" fontId="75" fillId="0" borderId="0" xfId="0" applyNumberFormat="1" applyFont="1" applyBorder="1" applyAlignment="1">
      <alignment horizontal="center" vertical="center" wrapText="1"/>
    </xf>
    <xf numFmtId="0" fontId="75" fillId="0" borderId="136" xfId="0" applyFont="1" applyBorder="1" applyAlignment="1">
      <alignment vertical="center"/>
    </xf>
    <xf numFmtId="0" fontId="107" fillId="5" borderId="10" xfId="7" applyFont="1" applyBorder="1" applyAlignment="1">
      <alignment vertical="center"/>
    </xf>
    <xf numFmtId="0" fontId="107" fillId="5" borderId="35" xfId="7" applyFont="1" applyBorder="1" applyAlignment="1">
      <alignment vertical="center"/>
    </xf>
    <xf numFmtId="0" fontId="0" fillId="0" borderId="226" xfId="0" applyFont="1" applyBorder="1" applyAlignment="1">
      <alignment horizontal="center" vertical="center"/>
    </xf>
    <xf numFmtId="0" fontId="0" fillId="0" borderId="139" xfId="0" applyFont="1" applyBorder="1" applyAlignment="1">
      <alignment vertical="center"/>
    </xf>
    <xf numFmtId="0" fontId="0" fillId="0" borderId="3" xfId="0" applyFont="1" applyFill="1" applyBorder="1" applyAlignment="1">
      <alignment horizontal="center" vertical="center" wrapText="1"/>
    </xf>
    <xf numFmtId="0" fontId="99" fillId="0" borderId="0" xfId="0" applyFont="1" applyAlignment="1">
      <alignment horizontal="center"/>
    </xf>
    <xf numFmtId="0" fontId="117" fillId="8" borderId="3" xfId="6" applyFont="1" applyBorder="1" applyAlignment="1">
      <alignment horizontal="center" vertical="center" wrapText="1"/>
    </xf>
    <xf numFmtId="9" fontId="99" fillId="22" borderId="109" xfId="28" applyNumberFormat="1" applyFont="1" applyFill="1" applyBorder="1" applyAlignment="1">
      <alignment horizontal="center"/>
    </xf>
    <xf numFmtId="9" fontId="99" fillId="22" borderId="121" xfId="28" applyNumberFormat="1" applyFont="1" applyFill="1" applyBorder="1" applyAlignment="1">
      <alignment horizontal="center"/>
    </xf>
    <xf numFmtId="9" fontId="99" fillId="22" borderId="127" xfId="28" applyNumberFormat="1" applyFont="1" applyFill="1" applyBorder="1" applyAlignment="1">
      <alignment horizontal="center"/>
    </xf>
    <xf numFmtId="0" fontId="99" fillId="22" borderId="111" xfId="0" applyFont="1" applyFill="1" applyBorder="1" applyAlignment="1">
      <alignment horizontal="center"/>
    </xf>
    <xf numFmtId="0" fontId="99" fillId="22" borderId="111" xfId="0" applyFont="1" applyFill="1" applyBorder="1"/>
    <xf numFmtId="0" fontId="108" fillId="13" borderId="113" xfId="0" applyFont="1" applyFill="1" applyBorder="1"/>
    <xf numFmtId="166" fontId="108" fillId="13" borderId="113" xfId="28" applyNumberFormat="1" applyFont="1" applyFill="1" applyBorder="1"/>
    <xf numFmtId="9" fontId="112" fillId="0" borderId="3" xfId="6" applyNumberFormat="1" applyFont="1" applyFill="1" applyBorder="1" applyAlignment="1">
      <alignment horizontal="center" vertical="center" wrapText="1"/>
    </xf>
    <xf numFmtId="10" fontId="112" fillId="0" borderId="155" xfId="6" applyNumberFormat="1" applyFont="1" applyFill="1" applyBorder="1" applyAlignment="1">
      <alignment horizontal="center" vertical="center" wrapText="1"/>
    </xf>
    <xf numFmtId="9" fontId="0" fillId="0" borderId="0" xfId="0" applyNumberFormat="1" applyFont="1" applyAlignment="1">
      <alignment horizontal="center" vertical="center" wrapText="1"/>
    </xf>
    <xf numFmtId="9" fontId="108" fillId="13" borderId="113" xfId="28" applyFont="1" applyFill="1" applyBorder="1"/>
    <xf numFmtId="9" fontId="56" fillId="18" borderId="0" xfId="28" applyNumberFormat="1" applyFont="1" applyFill="1" applyAlignment="1">
      <alignment horizontal="center" vertical="center"/>
    </xf>
    <xf numFmtId="166" fontId="75" fillId="0" borderId="0" xfId="0" applyNumberFormat="1" applyFont="1" applyAlignment="1">
      <alignment vertical="center"/>
    </xf>
    <xf numFmtId="166" fontId="75" fillId="0" borderId="0" xfId="28" applyNumberFormat="1" applyFont="1" applyAlignment="1">
      <alignment horizontal="center" vertical="center"/>
    </xf>
    <xf numFmtId="9" fontId="99" fillId="0" borderId="3" xfId="28" applyFont="1" applyBorder="1" applyAlignment="1">
      <alignment horizontal="center" vertical="center"/>
    </xf>
    <xf numFmtId="0" fontId="99" fillId="0" borderId="3" xfId="0" applyFont="1" applyBorder="1" applyAlignment="1">
      <alignment vertical="center" wrapText="1"/>
    </xf>
    <xf numFmtId="9" fontId="99" fillId="0" borderId="3" xfId="0" applyNumberFormat="1" applyFont="1" applyBorder="1" applyAlignment="1">
      <alignment horizontal="center" vertical="center"/>
    </xf>
    <xf numFmtId="9" fontId="109" fillId="0" borderId="3" xfId="0" applyNumberFormat="1" applyFont="1" applyFill="1" applyBorder="1" applyAlignment="1">
      <alignment horizontal="center" vertical="center"/>
    </xf>
    <xf numFmtId="0" fontId="99" fillId="0" borderId="3" xfId="0" applyFont="1" applyBorder="1" applyAlignment="1">
      <alignment horizontal="left" vertical="center" wrapText="1"/>
    </xf>
    <xf numFmtId="9" fontId="99" fillId="0" borderId="15" xfId="0" applyNumberFormat="1" applyFont="1" applyBorder="1" applyAlignment="1">
      <alignment horizontal="center" vertical="center"/>
    </xf>
    <xf numFmtId="9" fontId="99" fillId="37" borderId="15" xfId="0" applyNumberFormat="1" applyFont="1" applyFill="1" applyBorder="1" applyAlignment="1">
      <alignment horizontal="center" vertical="center"/>
    </xf>
    <xf numFmtId="0" fontId="99" fillId="37" borderId="15" xfId="0" applyFont="1" applyFill="1" applyBorder="1" applyAlignment="1">
      <alignment horizontal="center" vertical="center"/>
    </xf>
    <xf numFmtId="0" fontId="99" fillId="0" borderId="15" xfId="0" applyFont="1" applyBorder="1" applyAlignment="1">
      <alignment horizontal="center" vertical="center"/>
    </xf>
    <xf numFmtId="0" fontId="112" fillId="0" borderId="3" xfId="0" applyFont="1" applyBorder="1" applyAlignment="1">
      <alignment horizontal="center" vertical="center" wrapText="1"/>
    </xf>
    <xf numFmtId="9" fontId="0" fillId="0" borderId="3" xfId="0" applyNumberFormat="1" applyFont="1" applyBorder="1" applyAlignment="1">
      <alignment horizontal="center" vertical="center"/>
    </xf>
    <xf numFmtId="0" fontId="0" fillId="0" borderId="3" xfId="0" applyFont="1" applyBorder="1" applyAlignment="1">
      <alignment horizontal="center" vertical="center" wrapText="1"/>
    </xf>
    <xf numFmtId="0" fontId="0" fillId="0" borderId="3" xfId="0" applyFont="1" applyBorder="1" applyAlignment="1">
      <alignment horizontal="left" vertical="center" wrapText="1"/>
    </xf>
    <xf numFmtId="9" fontId="112" fillId="0" borderId="3" xfId="28" applyFont="1" applyFill="1" applyBorder="1" applyAlignment="1">
      <alignment horizontal="center" vertical="center" wrapText="1"/>
    </xf>
    <xf numFmtId="0" fontId="0" fillId="0" borderId="3" xfId="0" applyFont="1" applyFill="1" applyBorder="1" applyAlignment="1">
      <alignment horizontal="center" vertical="center" wrapText="1"/>
    </xf>
    <xf numFmtId="9" fontId="56" fillId="0" borderId="9" xfId="28" applyFont="1" applyBorder="1" applyAlignment="1">
      <alignment horizontal="center" vertical="center"/>
    </xf>
    <xf numFmtId="0" fontId="0" fillId="0" borderId="9" xfId="0" applyFont="1" applyBorder="1" applyAlignment="1">
      <alignment horizontal="left" vertical="center" wrapText="1"/>
    </xf>
    <xf numFmtId="9" fontId="56" fillId="22" borderId="9" xfId="28" applyFont="1" applyFill="1" applyBorder="1" applyAlignment="1">
      <alignment horizontal="center" vertical="center"/>
    </xf>
    <xf numFmtId="9" fontId="0" fillId="22" borderId="3" xfId="0" applyNumberFormat="1" applyFont="1" applyFill="1" applyBorder="1" applyAlignment="1">
      <alignment horizontal="center" vertical="center"/>
    </xf>
    <xf numFmtId="0" fontId="0" fillId="22" borderId="3" xfId="0" applyFont="1" applyFill="1" applyBorder="1" applyAlignment="1">
      <alignment horizontal="center" vertical="center"/>
    </xf>
    <xf numFmtId="0" fontId="115" fillId="22" borderId="3" xfId="0" applyFont="1" applyFill="1" applyBorder="1" applyAlignment="1">
      <alignment horizontal="left" vertical="center" wrapText="1"/>
    </xf>
    <xf numFmtId="0" fontId="0" fillId="0" borderId="3" xfId="0" applyFont="1" applyBorder="1" applyAlignment="1">
      <alignment horizontal="left" vertical="center" wrapText="1"/>
    </xf>
    <xf numFmtId="9" fontId="56" fillId="0" borderId="3" xfId="28" applyFont="1" applyBorder="1" applyAlignment="1">
      <alignment horizontal="center" vertical="center"/>
    </xf>
    <xf numFmtId="0" fontId="99" fillId="0" borderId="3" xfId="0" applyFont="1" applyBorder="1" applyAlignment="1">
      <alignment horizontal="left" vertical="center" wrapText="1"/>
    </xf>
    <xf numFmtId="9" fontId="99" fillId="0" borderId="3" xfId="0" applyNumberFormat="1" applyFont="1" applyBorder="1" applyAlignment="1">
      <alignment horizontal="center" vertical="center"/>
    </xf>
    <xf numFmtId="9" fontId="112" fillId="0" borderId="3" xfId="0" applyNumberFormat="1" applyFont="1" applyBorder="1" applyAlignment="1">
      <alignment horizontal="center" vertical="center"/>
    </xf>
    <xf numFmtId="0" fontId="112" fillId="0" borderId="3" xfId="0" applyFont="1" applyBorder="1" applyAlignment="1">
      <alignment horizontal="center" vertical="center"/>
    </xf>
    <xf numFmtId="0" fontId="0" fillId="0" borderId="11" xfId="0" applyFont="1" applyBorder="1" applyAlignment="1">
      <alignment horizontal="center" vertical="center" wrapText="1"/>
    </xf>
    <xf numFmtId="0" fontId="0" fillId="22" borderId="12" xfId="0" applyFont="1" applyFill="1" applyBorder="1" applyAlignment="1">
      <alignment horizontal="left" vertical="center" wrapText="1"/>
    </xf>
    <xf numFmtId="0" fontId="0" fillId="22" borderId="3" xfId="0" applyFont="1" applyFill="1" applyBorder="1" applyAlignment="1">
      <alignment horizontal="left" vertical="center" wrapText="1"/>
    </xf>
    <xf numFmtId="0" fontId="0" fillId="22" borderId="9" xfId="0" applyFont="1" applyFill="1" applyBorder="1" applyAlignment="1">
      <alignment horizontal="left" vertical="center" wrapText="1"/>
    </xf>
    <xf numFmtId="0" fontId="112" fillId="22" borderId="3" xfId="0" applyFont="1" applyFill="1" applyBorder="1" applyAlignment="1">
      <alignment horizontal="left" vertical="center" wrapText="1"/>
    </xf>
    <xf numFmtId="0" fontId="66" fillId="28" borderId="3" xfId="0" applyFont="1" applyFill="1" applyBorder="1" applyAlignment="1">
      <alignment horizontal="left" vertical="center" wrapText="1"/>
    </xf>
    <xf numFmtId="0" fontId="66" fillId="28" borderId="12" xfId="0" applyFont="1" applyFill="1" applyBorder="1" applyAlignment="1">
      <alignment horizontal="left" vertical="center" wrapText="1"/>
    </xf>
    <xf numFmtId="9" fontId="112" fillId="0" borderId="3" xfId="28" applyFont="1" applyBorder="1" applyAlignment="1">
      <alignment horizontal="center" vertical="center" wrapText="1"/>
    </xf>
    <xf numFmtId="10" fontId="0" fillId="13" borderId="0" xfId="0" applyNumberFormat="1" applyFont="1" applyFill="1" applyAlignment="1">
      <alignment horizontal="center"/>
    </xf>
    <xf numFmtId="0" fontId="68" fillId="29" borderId="3" xfId="6" applyFont="1" applyFill="1" applyBorder="1" applyAlignment="1">
      <alignment horizontal="center" vertical="center" wrapText="1"/>
    </xf>
    <xf numFmtId="0" fontId="68" fillId="29" borderId="9" xfId="6" applyFont="1" applyFill="1" applyBorder="1" applyAlignment="1">
      <alignment horizontal="center" vertical="center" wrapText="1"/>
    </xf>
    <xf numFmtId="0" fontId="117" fillId="29" borderId="3" xfId="6" applyFont="1" applyFill="1" applyBorder="1" applyAlignment="1">
      <alignment horizontal="center" vertical="center" wrapText="1"/>
    </xf>
    <xf numFmtId="0" fontId="68" fillId="29" borderId="15" xfId="6" applyFont="1" applyFill="1" applyBorder="1" applyAlignment="1">
      <alignment horizontal="center" vertical="center" wrapText="1"/>
    </xf>
    <xf numFmtId="9" fontId="68" fillId="29" borderId="9" xfId="28" applyFont="1" applyFill="1" applyBorder="1" applyAlignment="1">
      <alignment horizontal="center" vertical="center" wrapText="1"/>
    </xf>
    <xf numFmtId="0" fontId="0" fillId="0" borderId="12" xfId="0" applyFont="1" applyBorder="1" applyAlignment="1">
      <alignment vertical="center"/>
    </xf>
    <xf numFmtId="166" fontId="56" fillId="0" borderId="0" xfId="28" applyNumberFormat="1" applyFont="1" applyFill="1" applyAlignment="1">
      <alignment horizontal="center"/>
    </xf>
    <xf numFmtId="166" fontId="56" fillId="22" borderId="0" xfId="28" applyNumberFormat="1" applyFont="1" applyFill="1" applyBorder="1" applyAlignment="1">
      <alignment horizontal="center" vertical="center" wrapText="1"/>
    </xf>
    <xf numFmtId="9" fontId="112" fillId="0" borderId="3" xfId="28" applyFont="1" applyFill="1" applyBorder="1" applyAlignment="1">
      <alignment horizontal="center" vertical="center" wrapText="1"/>
    </xf>
    <xf numFmtId="0" fontId="99" fillId="0" borderId="3" xfId="0" applyFont="1" applyBorder="1" applyAlignment="1">
      <alignment horizontal="left" vertical="center" wrapText="1"/>
    </xf>
    <xf numFmtId="0" fontId="0" fillId="0" borderId="3" xfId="0" applyFont="1" applyBorder="1" applyAlignment="1">
      <alignment horizontal="center" vertical="center" wrapText="1"/>
    </xf>
    <xf numFmtId="0" fontId="0" fillId="0" borderId="3" xfId="0" applyFont="1" applyBorder="1" applyAlignment="1">
      <alignment horizontal="center" vertical="center" wrapText="1"/>
    </xf>
    <xf numFmtId="0" fontId="99" fillId="0" borderId="3" xfId="0" applyFont="1" applyBorder="1" applyAlignment="1">
      <alignment horizontal="left" vertical="center" wrapText="1"/>
    </xf>
    <xf numFmtId="0" fontId="0" fillId="22" borderId="65" xfId="0" applyFont="1" applyFill="1" applyBorder="1" applyAlignment="1">
      <alignment horizontal="left" vertical="center" wrapText="1"/>
    </xf>
    <xf numFmtId="166" fontId="108" fillId="13" borderId="113" xfId="28" applyNumberFormat="1" applyFont="1" applyFill="1" applyBorder="1" applyAlignment="1">
      <alignment wrapText="1"/>
    </xf>
    <xf numFmtId="0" fontId="0" fillId="0" borderId="3" xfId="0" applyFont="1" applyBorder="1" applyAlignment="1">
      <alignment horizontal="center" vertical="center" wrapText="1"/>
    </xf>
    <xf numFmtId="9" fontId="99" fillId="22" borderId="109" xfId="28" applyNumberFormat="1" applyFont="1" applyFill="1" applyBorder="1" applyAlignment="1">
      <alignment horizontal="center" vertical="center" wrapText="1"/>
    </xf>
    <xf numFmtId="9" fontId="99" fillId="22" borderId="121" xfId="28" applyNumberFormat="1" applyFont="1" applyFill="1" applyBorder="1" applyAlignment="1">
      <alignment horizontal="center" vertical="center" wrapText="1"/>
    </xf>
    <xf numFmtId="9" fontId="99" fillId="22" borderId="127" xfId="28" applyNumberFormat="1" applyFont="1" applyFill="1" applyBorder="1" applyAlignment="1">
      <alignment horizontal="center" vertical="center" wrapText="1"/>
    </xf>
    <xf numFmtId="0" fontId="118" fillId="0" borderId="0" xfId="0" applyFont="1" applyAlignment="1">
      <alignment wrapText="1"/>
    </xf>
    <xf numFmtId="9" fontId="56" fillId="18" borderId="0" xfId="28" applyNumberFormat="1" applyFont="1" applyFill="1" applyAlignment="1">
      <alignment horizontal="center" vertical="center"/>
    </xf>
    <xf numFmtId="0" fontId="119" fillId="22" borderId="3" xfId="0" applyFont="1" applyFill="1" applyBorder="1" applyAlignment="1">
      <alignment vertical="center" wrapText="1"/>
    </xf>
    <xf numFmtId="9" fontId="0" fillId="22" borderId="3" xfId="0" applyNumberFormat="1" applyFont="1" applyFill="1" applyBorder="1" applyAlignment="1">
      <alignment horizontal="center" vertical="center"/>
    </xf>
    <xf numFmtId="0" fontId="0" fillId="0" borderId="9" xfId="0" applyFont="1" applyBorder="1" applyAlignment="1">
      <alignment horizontal="left" vertical="center" wrapText="1"/>
    </xf>
    <xf numFmtId="0" fontId="0" fillId="0" borderId="12" xfId="0" applyFont="1" applyBorder="1" applyAlignment="1">
      <alignment horizontal="left" vertical="center" wrapText="1"/>
    </xf>
    <xf numFmtId="0" fontId="0" fillId="0" borderId="3" xfId="0" applyFont="1" applyBorder="1" applyAlignment="1">
      <alignment horizontal="left" vertical="center" wrapText="1"/>
    </xf>
    <xf numFmtId="0" fontId="68" fillId="8" borderId="15" xfId="6" applyFont="1" applyBorder="1" applyAlignment="1">
      <alignment horizontal="center" vertical="center" wrapText="1"/>
    </xf>
    <xf numFmtId="0" fontId="0" fillId="22" borderId="3" xfId="0" applyFont="1" applyFill="1" applyBorder="1" applyAlignment="1">
      <alignment horizontal="center" vertical="center" wrapText="1"/>
    </xf>
    <xf numFmtId="0" fontId="0" fillId="0" borderId="3" xfId="0" applyFont="1" applyBorder="1" applyAlignment="1">
      <alignment horizontal="center" vertical="center" wrapText="1"/>
    </xf>
    <xf numFmtId="9" fontId="0" fillId="22" borderId="3" xfId="0" applyNumberFormat="1" applyFont="1" applyFill="1" applyBorder="1" applyAlignment="1">
      <alignment horizontal="center" vertical="center" wrapText="1"/>
    </xf>
    <xf numFmtId="166" fontId="75" fillId="0" borderId="51" xfId="0" applyNumberFormat="1" applyFont="1" applyBorder="1" applyAlignment="1">
      <alignment horizontal="center" vertical="center"/>
    </xf>
    <xf numFmtId="166" fontId="75" fillId="0" borderId="84" xfId="0" applyNumberFormat="1" applyFont="1" applyBorder="1" applyAlignment="1">
      <alignment horizontal="center" vertical="center"/>
    </xf>
    <xf numFmtId="0" fontId="0" fillId="22" borderId="129" xfId="0" applyFont="1" applyFill="1" applyBorder="1" applyAlignment="1">
      <alignment horizontal="center" vertical="center" wrapText="1"/>
    </xf>
    <xf numFmtId="0" fontId="0" fillId="22" borderId="132" xfId="0" applyFont="1" applyFill="1" applyBorder="1" applyAlignment="1">
      <alignment horizontal="center" vertical="center" wrapText="1"/>
    </xf>
    <xf numFmtId="0" fontId="0" fillId="22" borderId="114" xfId="0" applyFont="1" applyFill="1" applyBorder="1" applyAlignment="1">
      <alignment horizontal="center" vertical="center" wrapText="1"/>
    </xf>
    <xf numFmtId="15" fontId="0" fillId="22" borderId="130" xfId="0" applyNumberFormat="1" applyFont="1" applyFill="1" applyBorder="1" applyAlignment="1">
      <alignment horizontal="center" vertical="center"/>
    </xf>
    <xf numFmtId="0" fontId="0" fillId="22" borderId="133" xfId="0" applyFont="1" applyFill="1" applyBorder="1" applyAlignment="1">
      <alignment horizontal="center" vertical="center" wrapText="1"/>
    </xf>
    <xf numFmtId="0" fontId="0" fillId="22" borderId="132" xfId="0" applyFont="1" applyFill="1" applyBorder="1" applyAlignment="1">
      <alignment vertical="center" wrapText="1"/>
    </xf>
    <xf numFmtId="15" fontId="0" fillId="22" borderId="135" xfId="0" applyNumberFormat="1" applyFont="1" applyFill="1" applyBorder="1" applyAlignment="1">
      <alignment horizontal="center" vertical="center"/>
    </xf>
    <xf numFmtId="0" fontId="0" fillId="22" borderId="114" xfId="0" applyFont="1" applyFill="1" applyBorder="1" applyAlignment="1">
      <alignment vertical="center" wrapText="1"/>
    </xf>
    <xf numFmtId="15" fontId="0" fillId="22" borderId="131" xfId="0" applyNumberFormat="1" applyFont="1" applyFill="1" applyBorder="1" applyAlignment="1">
      <alignment horizontal="center" vertical="center"/>
    </xf>
    <xf numFmtId="0" fontId="0" fillId="22" borderId="207" xfId="0" applyFont="1" applyFill="1" applyBorder="1" applyAlignment="1">
      <alignment vertical="center" wrapText="1"/>
    </xf>
    <xf numFmtId="15" fontId="0" fillId="22" borderId="133" xfId="0" applyNumberFormat="1" applyFont="1" applyFill="1" applyBorder="1" applyAlignment="1">
      <alignment horizontal="center" vertical="center"/>
    </xf>
    <xf numFmtId="9" fontId="56" fillId="22" borderId="133" xfId="28" applyFont="1" applyFill="1" applyBorder="1" applyAlignment="1">
      <alignment horizontal="center" vertical="center"/>
    </xf>
    <xf numFmtId="9" fontId="0" fillId="22" borderId="135" xfId="0" applyNumberFormat="1" applyFont="1" applyFill="1" applyBorder="1" applyAlignment="1">
      <alignment horizontal="center" vertical="center"/>
    </xf>
    <xf numFmtId="9" fontId="0" fillId="22" borderId="19" xfId="0" applyNumberFormat="1" applyFont="1" applyFill="1" applyBorder="1" applyAlignment="1">
      <alignment horizontal="center" vertical="center"/>
    </xf>
    <xf numFmtId="9" fontId="56" fillId="22" borderId="20" xfId="28" applyFont="1" applyFill="1" applyBorder="1" applyAlignment="1">
      <alignment horizontal="center" vertical="center"/>
    </xf>
    <xf numFmtId="0" fontId="0" fillId="0" borderId="12" xfId="0" applyFont="1" applyFill="1" applyBorder="1" applyAlignment="1">
      <alignment vertical="center" wrapText="1"/>
    </xf>
    <xf numFmtId="0" fontId="115" fillId="22" borderId="15" xfId="0" applyFont="1" applyFill="1" applyBorder="1" applyAlignment="1">
      <alignment vertical="center" wrapText="1" readingOrder="1"/>
    </xf>
    <xf numFmtId="9" fontId="99" fillId="22" borderId="15" xfId="0" applyNumberFormat="1" applyFont="1" applyFill="1" applyBorder="1" applyAlignment="1">
      <alignment horizontal="center" vertical="center"/>
    </xf>
    <xf numFmtId="0" fontId="99" fillId="22" borderId="15" xfId="0" applyFont="1" applyFill="1" applyBorder="1" applyAlignment="1">
      <alignment horizontal="center" vertical="center"/>
    </xf>
    <xf numFmtId="9" fontId="0" fillId="0" borderId="9" xfId="0" applyNumberFormat="1" applyFont="1" applyBorder="1" applyAlignment="1">
      <alignment horizontal="center" vertical="center"/>
    </xf>
    <xf numFmtId="0" fontId="112" fillId="22" borderId="3" xfId="0" applyFont="1" applyFill="1" applyBorder="1" applyAlignment="1">
      <alignment horizontal="left" vertical="center" wrapText="1"/>
    </xf>
    <xf numFmtId="0" fontId="0" fillId="0" borderId="3" xfId="0" applyFont="1" applyBorder="1" applyAlignment="1">
      <alignment horizontal="left" vertical="center" wrapText="1"/>
    </xf>
    <xf numFmtId="9" fontId="61" fillId="22" borderId="3" xfId="28" applyFont="1" applyFill="1" applyBorder="1" applyAlignment="1">
      <alignment horizontal="center" vertical="center"/>
    </xf>
    <xf numFmtId="9" fontId="56" fillId="0" borderId="3" xfId="28" applyFont="1" applyBorder="1" applyAlignment="1">
      <alignment horizontal="center" vertical="center"/>
    </xf>
    <xf numFmtId="0" fontId="112" fillId="0" borderId="3" xfId="0" applyFont="1" applyFill="1" applyBorder="1" applyAlignment="1">
      <alignment horizontal="left" vertical="center" wrapText="1" readingOrder="1"/>
    </xf>
    <xf numFmtId="0" fontId="115" fillId="0" borderId="3" xfId="0" applyFont="1" applyFill="1" applyBorder="1" applyAlignment="1">
      <alignment horizontal="left" vertical="center" wrapText="1"/>
    </xf>
    <xf numFmtId="0" fontId="73" fillId="0" borderId="0" xfId="0" applyFont="1" applyFill="1" applyAlignment="1">
      <alignment horizontal="center" vertical="center"/>
    </xf>
    <xf numFmtId="0" fontId="73" fillId="0" borderId="0" xfId="0" applyFont="1" applyFill="1" applyAlignment="1">
      <alignment horizontal="center" vertical="center" wrapText="1"/>
    </xf>
    <xf numFmtId="0" fontId="0" fillId="22" borderId="3" xfId="0" applyFont="1" applyFill="1" applyBorder="1" applyAlignment="1">
      <alignment horizontal="left" vertical="center" wrapText="1"/>
    </xf>
    <xf numFmtId="9" fontId="56" fillId="22" borderId="3" xfId="28" applyFont="1" applyFill="1" applyBorder="1" applyAlignment="1">
      <alignment horizontal="center" vertical="center" wrapText="1"/>
    </xf>
    <xf numFmtId="0" fontId="68" fillId="5" borderId="0" xfId="7" applyFont="1" applyBorder="1" applyAlignment="1">
      <alignment horizontal="center" vertical="center"/>
    </xf>
    <xf numFmtId="0" fontId="0" fillId="0" borderId="9"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3" xfId="0" applyFont="1" applyBorder="1" applyAlignment="1">
      <alignment horizontal="left" vertical="center" wrapText="1"/>
    </xf>
    <xf numFmtId="0" fontId="69" fillId="0" borderId="3" xfId="0" applyFont="1" applyBorder="1" applyAlignment="1">
      <alignment horizontal="center" vertical="center" wrapText="1"/>
    </xf>
    <xf numFmtId="0" fontId="113" fillId="0" borderId="3" xfId="0" applyFont="1" applyBorder="1" applyAlignment="1">
      <alignment vertical="center" wrapText="1"/>
    </xf>
    <xf numFmtId="166" fontId="56" fillId="13" borderId="0" xfId="28" applyNumberFormat="1" applyFont="1" applyFill="1" applyBorder="1" applyAlignment="1">
      <alignment horizontal="center" vertical="center" wrapText="1"/>
    </xf>
    <xf numFmtId="9" fontId="0" fillId="0" borderId="3" xfId="0" applyNumberFormat="1" applyFont="1" applyBorder="1" applyAlignment="1">
      <alignment horizontal="center" vertical="center"/>
    </xf>
    <xf numFmtId="0" fontId="0" fillId="0" borderId="3" xfId="0" applyFont="1" applyBorder="1" applyAlignment="1">
      <alignment horizontal="center" vertical="center" wrapText="1"/>
    </xf>
    <xf numFmtId="9" fontId="0" fillId="0" borderId="3" xfId="0" applyNumberFormat="1" applyFont="1" applyBorder="1" applyAlignment="1">
      <alignment horizontal="center" vertical="center"/>
    </xf>
    <xf numFmtId="0" fontId="86" fillId="13" borderId="0" xfId="0" applyFont="1" applyFill="1" applyAlignment="1">
      <alignment horizontal="center" vertical="center"/>
    </xf>
    <xf numFmtId="0" fontId="75" fillId="0" borderId="0" xfId="0" applyFont="1"/>
    <xf numFmtId="0" fontId="107" fillId="29" borderId="3" xfId="6" applyFont="1" applyFill="1" applyBorder="1" applyAlignment="1">
      <alignment horizontal="center" vertical="center" wrapText="1"/>
    </xf>
    <xf numFmtId="0" fontId="120" fillId="0" borderId="3" xfId="6" applyFont="1" applyFill="1" applyBorder="1" applyAlignment="1">
      <alignment horizontal="center" vertical="center" wrapText="1"/>
    </xf>
    <xf numFmtId="166" fontId="75" fillId="0" borderId="0" xfId="28" applyNumberFormat="1" applyFont="1" applyFill="1" applyAlignment="1">
      <alignment horizontal="center"/>
    </xf>
    <xf numFmtId="166" fontId="86" fillId="18" borderId="0" xfId="28" applyNumberFormat="1" applyFont="1" applyFill="1" applyAlignment="1">
      <alignment horizontal="center"/>
    </xf>
    <xf numFmtId="166" fontId="73" fillId="0" borderId="0" xfId="28" applyNumberFormat="1" applyFont="1" applyFill="1" applyAlignment="1">
      <alignment horizontal="center" vertical="center"/>
    </xf>
    <xf numFmtId="166" fontId="75" fillId="0" borderId="0" xfId="28" applyNumberFormat="1" applyFont="1" applyAlignment="1">
      <alignment vertical="center"/>
    </xf>
    <xf numFmtId="9" fontId="86" fillId="13" borderId="0" xfId="0" applyNumberFormat="1" applyFont="1" applyFill="1" applyAlignment="1">
      <alignment horizontal="left"/>
    </xf>
    <xf numFmtId="9" fontId="112" fillId="22" borderId="3" xfId="0" applyNumberFormat="1" applyFont="1" applyFill="1" applyBorder="1" applyAlignment="1">
      <alignment horizontal="center" vertical="center"/>
    </xf>
    <xf numFmtId="9" fontId="112" fillId="22" borderId="12" xfId="0" applyNumberFormat="1" applyFont="1" applyFill="1" applyBorder="1" applyAlignment="1">
      <alignment horizontal="center" vertical="center"/>
    </xf>
    <xf numFmtId="0" fontId="120" fillId="22" borderId="12" xfId="0" applyFont="1" applyFill="1" applyBorder="1" applyAlignment="1">
      <alignment horizontal="left" vertical="center" wrapText="1"/>
    </xf>
    <xf numFmtId="0" fontId="120" fillId="22" borderId="3" xfId="0" applyFont="1" applyFill="1" applyBorder="1" applyAlignment="1">
      <alignment horizontal="left" vertical="center" wrapText="1"/>
    </xf>
    <xf numFmtId="9" fontId="99" fillId="22" borderId="3" xfId="0" applyNumberFormat="1" applyFont="1" applyFill="1" applyBorder="1" applyAlignment="1">
      <alignment horizontal="center" vertical="center"/>
    </xf>
    <xf numFmtId="0" fontId="59" fillId="0" borderId="0" xfId="0" applyFont="1"/>
    <xf numFmtId="9" fontId="59" fillId="0" borderId="0" xfId="28" applyFont="1"/>
    <xf numFmtId="0" fontId="121" fillId="0" borderId="3" xfId="0" applyFont="1" applyBorder="1" applyAlignment="1">
      <alignment horizontal="center" vertical="center" wrapText="1"/>
    </xf>
    <xf numFmtId="0" fontId="61" fillId="22" borderId="3" xfId="0" applyFont="1" applyFill="1" applyBorder="1" applyAlignment="1">
      <alignment horizontal="center" vertical="center" wrapText="1"/>
    </xf>
    <xf numFmtId="9" fontId="61" fillId="22" borderId="3" xfId="0" applyNumberFormat="1" applyFont="1" applyFill="1" applyBorder="1" applyAlignment="1">
      <alignment horizontal="center" vertical="center"/>
    </xf>
    <xf numFmtId="9" fontId="61" fillId="22" borderId="3" xfId="0" applyNumberFormat="1" applyFont="1" applyFill="1" applyBorder="1" applyAlignment="1">
      <alignment horizontal="center" vertical="center" wrapText="1"/>
    </xf>
    <xf numFmtId="15" fontId="61" fillId="22" borderId="3" xfId="0" applyNumberFormat="1" applyFont="1" applyFill="1" applyBorder="1" applyAlignment="1">
      <alignment horizontal="center" vertical="center" wrapText="1"/>
    </xf>
    <xf numFmtId="0" fontId="112" fillId="0" borderId="3" xfId="0" applyFont="1" applyBorder="1" applyAlignment="1">
      <alignment horizontal="center" vertical="center" wrapText="1"/>
    </xf>
    <xf numFmtId="9" fontId="0" fillId="0" borderId="3" xfId="0" applyNumberFormat="1" applyFont="1" applyBorder="1" applyAlignment="1">
      <alignment horizontal="center" vertical="center"/>
    </xf>
    <xf numFmtId="0" fontId="0" fillId="0" borderId="3" xfId="0" applyFont="1" applyBorder="1" applyAlignment="1">
      <alignment horizontal="center" vertical="center" wrapText="1"/>
    </xf>
    <xf numFmtId="9" fontId="112" fillId="0" borderId="3" xfId="28" applyFont="1" applyFill="1" applyBorder="1" applyAlignment="1">
      <alignment horizontal="center" vertical="center" wrapText="1"/>
    </xf>
    <xf numFmtId="0" fontId="0" fillId="0" borderId="3" xfId="0" applyFont="1" applyBorder="1" applyAlignment="1">
      <alignment horizontal="left" vertical="center" wrapText="1"/>
    </xf>
    <xf numFmtId="9" fontId="56" fillId="0" borderId="9" xfId="28" applyFont="1" applyBorder="1" applyAlignment="1">
      <alignment horizontal="center" vertical="center"/>
    </xf>
    <xf numFmtId="9" fontId="56" fillId="22" borderId="9" xfId="28" applyFont="1" applyFill="1" applyBorder="1" applyAlignment="1">
      <alignment horizontal="center" vertical="center"/>
    </xf>
    <xf numFmtId="0" fontId="0" fillId="0" borderId="9" xfId="0" applyFont="1" applyBorder="1" applyAlignment="1">
      <alignment horizontal="left" vertical="center" wrapText="1"/>
    </xf>
    <xf numFmtId="9" fontId="0" fillId="22" borderId="3" xfId="0" applyNumberFormat="1" applyFont="1" applyFill="1" applyBorder="1" applyAlignment="1">
      <alignment horizontal="center" vertical="center"/>
    </xf>
    <xf numFmtId="9" fontId="112" fillId="0" borderId="3" xfId="28" applyFont="1" applyBorder="1" applyAlignment="1">
      <alignment horizontal="center" vertical="center" wrapText="1"/>
    </xf>
    <xf numFmtId="9" fontId="112" fillId="0" borderId="3" xfId="0" applyNumberFormat="1" applyFont="1" applyBorder="1" applyAlignment="1">
      <alignment horizontal="center" vertical="center"/>
    </xf>
    <xf numFmtId="0" fontId="112" fillId="0" borderId="3" xfId="0" applyFont="1" applyBorder="1" applyAlignment="1">
      <alignment horizontal="center" vertical="center"/>
    </xf>
    <xf numFmtId="9" fontId="0" fillId="0" borderId="9" xfId="0" applyNumberFormat="1" applyFont="1" applyBorder="1" applyAlignment="1">
      <alignment horizontal="center" vertical="center"/>
    </xf>
    <xf numFmtId="0" fontId="99" fillId="0" borderId="3" xfId="0" applyFont="1" applyBorder="1" applyAlignment="1">
      <alignment horizontal="left" vertical="center" wrapText="1"/>
    </xf>
    <xf numFmtId="0" fontId="0" fillId="0" borderId="3" xfId="0" applyFont="1" applyBorder="1" applyAlignment="1">
      <alignment horizontal="center" vertical="center" wrapText="1"/>
    </xf>
    <xf numFmtId="9" fontId="0" fillId="0" borderId="3" xfId="0" applyNumberFormat="1" applyFont="1" applyBorder="1" applyAlignment="1">
      <alignment horizontal="center" vertical="center"/>
    </xf>
    <xf numFmtId="0" fontId="66" fillId="28" borderId="12" xfId="0" applyFont="1" applyFill="1" applyBorder="1" applyAlignment="1">
      <alignment horizontal="left" vertical="center" wrapText="1"/>
    </xf>
    <xf numFmtId="0" fontId="66" fillId="28" borderId="3" xfId="0" applyFont="1" applyFill="1" applyBorder="1" applyAlignment="1">
      <alignment horizontal="left" vertical="center" wrapText="1"/>
    </xf>
    <xf numFmtId="0" fontId="0" fillId="22" borderId="3" xfId="0" applyFont="1" applyFill="1" applyBorder="1" applyAlignment="1">
      <alignment horizontal="left" vertical="center" wrapText="1"/>
    </xf>
    <xf numFmtId="0" fontId="0" fillId="0" borderId="3" xfId="0" applyFont="1" applyBorder="1" applyAlignment="1">
      <alignment horizontal="left" vertical="center" wrapText="1"/>
    </xf>
    <xf numFmtId="0" fontId="112" fillId="22" borderId="3" xfId="0" applyFont="1" applyFill="1" applyBorder="1" applyAlignment="1">
      <alignment horizontal="left" vertical="center" wrapText="1"/>
    </xf>
    <xf numFmtId="0" fontId="68" fillId="8" borderId="15" xfId="6" applyFont="1" applyBorder="1" applyAlignment="1">
      <alignment horizontal="center" vertical="center" wrapText="1"/>
    </xf>
    <xf numFmtId="9" fontId="56" fillId="0" borderId="3" xfId="28" applyFont="1" applyBorder="1" applyAlignment="1">
      <alignment horizontal="center" vertical="center"/>
    </xf>
    <xf numFmtId="0" fontId="0" fillId="0" borderId="3" xfId="0" applyFont="1" applyBorder="1" applyAlignment="1">
      <alignment horizontal="left" vertical="center" wrapText="1"/>
    </xf>
    <xf numFmtId="0" fontId="0" fillId="22" borderId="3" xfId="0" applyFont="1" applyFill="1" applyBorder="1" applyAlignment="1">
      <alignment horizontal="left" vertical="center" wrapText="1"/>
    </xf>
    <xf numFmtId="9" fontId="99" fillId="0" borderId="15" xfId="0" applyNumberFormat="1" applyFont="1" applyFill="1" applyBorder="1" applyAlignment="1">
      <alignment horizontal="center" vertical="center"/>
    </xf>
    <xf numFmtId="9" fontId="53" fillId="0" borderId="3" xfId="0" applyNumberFormat="1" applyFont="1" applyFill="1" applyBorder="1" applyAlignment="1">
      <alignment horizontal="center" vertical="center"/>
    </xf>
    <xf numFmtId="9" fontId="53" fillId="0" borderId="12" xfId="0" applyNumberFormat="1" applyFont="1" applyFill="1" applyBorder="1" applyAlignment="1">
      <alignment horizontal="center" vertical="center"/>
    </xf>
    <xf numFmtId="9" fontId="53" fillId="0" borderId="9" xfId="0" applyNumberFormat="1" applyFont="1" applyFill="1" applyBorder="1" applyAlignment="1">
      <alignment horizontal="center" vertical="center"/>
    </xf>
    <xf numFmtId="0" fontId="53" fillId="0" borderId="3" xfId="0" applyFont="1" applyFill="1" applyBorder="1" applyAlignment="1">
      <alignment horizontal="left" vertical="center" wrapText="1"/>
    </xf>
    <xf numFmtId="9" fontId="53" fillId="0" borderId="15" xfId="0" applyNumberFormat="1" applyFont="1" applyFill="1" applyBorder="1" applyAlignment="1">
      <alignment horizontal="center" vertical="center"/>
    </xf>
    <xf numFmtId="0" fontId="53" fillId="0" borderId="3" xfId="0" applyFont="1" applyBorder="1" applyAlignment="1">
      <alignment horizontal="left" vertical="center" wrapText="1"/>
    </xf>
    <xf numFmtId="0" fontId="53" fillId="0" borderId="15" xfId="0" applyFont="1" applyFill="1" applyBorder="1" applyAlignment="1">
      <alignment horizontal="center" vertical="center"/>
    </xf>
    <xf numFmtId="9" fontId="99" fillId="0" borderId="3" xfId="0" applyNumberFormat="1" applyFont="1" applyFill="1" applyBorder="1" applyAlignment="1">
      <alignment horizontal="center" vertical="center"/>
    </xf>
    <xf numFmtId="0" fontId="122" fillId="22" borderId="15" xfId="0" applyFont="1" applyFill="1" applyBorder="1" applyAlignment="1">
      <alignment horizontal="left" vertical="center" wrapText="1" readingOrder="1"/>
    </xf>
    <xf numFmtId="0" fontId="122" fillId="22" borderId="15" xfId="0" applyFont="1" applyFill="1" applyBorder="1" applyAlignment="1">
      <alignment horizontal="left" vertical="center" readingOrder="1"/>
    </xf>
    <xf numFmtId="0" fontId="99" fillId="0" borderId="3" xfId="0" applyFont="1" applyFill="1" applyBorder="1"/>
    <xf numFmtId="0" fontId="99" fillId="0" borderId="3" xfId="0" applyFont="1" applyFill="1" applyBorder="1" applyAlignment="1">
      <alignment horizontal="left" vertical="center" wrapText="1"/>
    </xf>
    <xf numFmtId="0" fontId="86" fillId="22" borderId="3" xfId="0" applyFont="1" applyFill="1" applyBorder="1" applyAlignment="1">
      <alignment wrapText="1"/>
    </xf>
    <xf numFmtId="2" fontId="0" fillId="0" borderId="0" xfId="0" applyNumberFormat="1" applyFont="1" applyAlignment="1">
      <alignment vertical="center"/>
    </xf>
    <xf numFmtId="0" fontId="68" fillId="29" borderId="3" xfId="6" applyFont="1" applyFill="1" applyBorder="1" applyAlignment="1">
      <alignment horizontal="center" vertical="center" wrapText="1"/>
    </xf>
    <xf numFmtId="9" fontId="56" fillId="22" borderId="3" xfId="28" applyNumberFormat="1" applyFont="1" applyFill="1" applyBorder="1" applyAlignment="1">
      <alignment horizontal="center" vertical="center"/>
    </xf>
    <xf numFmtId="0" fontId="0" fillId="0" borderId="3" xfId="0" applyFont="1" applyBorder="1" applyAlignment="1">
      <alignment vertical="center"/>
    </xf>
    <xf numFmtId="0" fontId="0" fillId="0" borderId="3" xfId="0" applyFont="1" applyBorder="1" applyAlignment="1">
      <alignment vertical="center" wrapText="1"/>
    </xf>
    <xf numFmtId="0" fontId="0" fillId="22" borderId="3" xfId="0" applyFont="1" applyFill="1" applyBorder="1"/>
    <xf numFmtId="0" fontId="0" fillId="0" borderId="3" xfId="0" applyFont="1" applyBorder="1"/>
    <xf numFmtId="0" fontId="86" fillId="0" borderId="3" xfId="0" applyFont="1" applyBorder="1" applyAlignment="1">
      <alignment vertical="center" wrapText="1"/>
    </xf>
    <xf numFmtId="0" fontId="0" fillId="22" borderId="113" xfId="0" applyFont="1" applyFill="1" applyBorder="1"/>
    <xf numFmtId="0" fontId="0" fillId="22" borderId="0" xfId="0" applyFont="1" applyFill="1"/>
    <xf numFmtId="0" fontId="0" fillId="0" borderId="9" xfId="0" applyFont="1" applyBorder="1" applyAlignment="1">
      <alignment vertical="center" wrapText="1"/>
    </xf>
    <xf numFmtId="0" fontId="0" fillId="22" borderId="160" xfId="0" applyFont="1" applyFill="1" applyBorder="1" applyAlignment="1">
      <alignment horizontal="center" vertical="center"/>
    </xf>
    <xf numFmtId="0" fontId="0" fillId="22" borderId="109" xfId="0" applyFont="1" applyFill="1" applyBorder="1" applyAlignment="1">
      <alignment horizontal="center" vertical="center"/>
    </xf>
    <xf numFmtId="0" fontId="0" fillId="22" borderId="118" xfId="0" applyFont="1" applyFill="1" applyBorder="1" applyAlignment="1">
      <alignment horizontal="center" vertical="center"/>
    </xf>
    <xf numFmtId="0" fontId="0" fillId="22" borderId="0" xfId="0" applyFont="1" applyFill="1" applyAlignment="1">
      <alignment wrapText="1"/>
    </xf>
    <xf numFmtId="9" fontId="0" fillId="22" borderId="0" xfId="0" applyNumberFormat="1" applyFont="1" applyFill="1" applyAlignment="1">
      <alignment horizontal="center" vertical="center"/>
    </xf>
    <xf numFmtId="9" fontId="56" fillId="22" borderId="3" xfId="28" applyFont="1" applyFill="1" applyBorder="1" applyAlignment="1">
      <alignment horizontal="center" vertical="center"/>
    </xf>
    <xf numFmtId="0" fontId="0" fillId="22" borderId="150" xfId="0" applyFont="1" applyFill="1" applyBorder="1" applyAlignment="1">
      <alignment horizontal="center" vertical="center"/>
    </xf>
    <xf numFmtId="0" fontId="0" fillId="22" borderId="122" xfId="0" applyFont="1" applyFill="1" applyBorder="1" applyAlignment="1">
      <alignment horizontal="center" vertical="center"/>
    </xf>
    <xf numFmtId="0" fontId="69" fillId="22" borderId="0" xfId="0" applyFont="1" applyFill="1" applyAlignment="1">
      <alignment wrapText="1"/>
    </xf>
    <xf numFmtId="0" fontId="0" fillId="22" borderId="121" xfId="0" applyFont="1" applyFill="1" applyBorder="1" applyAlignment="1">
      <alignment horizontal="center" vertical="center"/>
    </xf>
    <xf numFmtId="0" fontId="0" fillId="22" borderId="0" xfId="0" applyFont="1" applyFill="1" applyAlignment="1">
      <alignment vertical="center" wrapText="1"/>
    </xf>
    <xf numFmtId="0" fontId="0" fillId="22" borderId="161" xfId="0" applyFont="1" applyFill="1" applyBorder="1" applyAlignment="1">
      <alignment horizontal="center" vertical="center"/>
    </xf>
    <xf numFmtId="0" fontId="0" fillId="22" borderId="126" xfId="0" applyFont="1" applyFill="1" applyBorder="1" applyAlignment="1">
      <alignment horizontal="center" vertical="center"/>
    </xf>
    <xf numFmtId="0" fontId="61" fillId="22" borderId="129" xfId="0" applyFont="1" applyFill="1" applyBorder="1" applyAlignment="1">
      <alignment vertical="center" wrapText="1"/>
    </xf>
    <xf numFmtId="0" fontId="61" fillId="0" borderId="3" xfId="0" applyFont="1" applyBorder="1" applyAlignment="1">
      <alignment horizontal="left" vertical="center" wrapText="1"/>
    </xf>
    <xf numFmtId="0" fontId="61" fillId="0" borderId="3" xfId="0" applyFont="1" applyBorder="1" applyAlignment="1">
      <alignment wrapText="1"/>
    </xf>
    <xf numFmtId="0" fontId="61" fillId="0" borderId="3" xfId="0" applyFont="1" applyFill="1" applyBorder="1" applyAlignment="1">
      <alignment vertical="center" wrapText="1"/>
    </xf>
    <xf numFmtId="0" fontId="61" fillId="0" borderId="3" xfId="0" applyFont="1" applyBorder="1" applyAlignment="1">
      <alignment vertical="center"/>
    </xf>
    <xf numFmtId="0" fontId="2" fillId="0" borderId="3" xfId="0" applyFont="1" applyBorder="1" applyAlignment="1">
      <alignment vertical="center"/>
    </xf>
    <xf numFmtId="0" fontId="2" fillId="0" borderId="3" xfId="0" applyFont="1" applyBorder="1" applyAlignment="1">
      <alignment vertical="center" wrapText="1"/>
    </xf>
    <xf numFmtId="9" fontId="2" fillId="22" borderId="3" xfId="0" applyNumberFormat="1" applyFont="1" applyFill="1" applyBorder="1" applyAlignment="1">
      <alignment horizontal="center" vertical="center"/>
    </xf>
    <xf numFmtId="15" fontId="2" fillId="22" borderId="3" xfId="0" applyNumberFormat="1" applyFont="1" applyFill="1" applyBorder="1" applyAlignment="1">
      <alignment horizontal="center" vertical="center" wrapText="1"/>
    </xf>
    <xf numFmtId="9" fontId="2" fillId="22" borderId="3" xfId="28" applyFont="1" applyFill="1" applyBorder="1" applyAlignment="1">
      <alignment horizontal="center" vertical="center"/>
    </xf>
    <xf numFmtId="9" fontId="0" fillId="0" borderId="3" xfId="0" applyNumberFormat="1" applyFont="1" applyBorder="1" applyAlignment="1">
      <alignment horizontal="center" vertical="center"/>
    </xf>
    <xf numFmtId="9" fontId="0" fillId="22" borderId="3" xfId="0" applyNumberFormat="1" applyFont="1" applyFill="1" applyBorder="1" applyAlignment="1">
      <alignment horizontal="center" vertical="center"/>
    </xf>
    <xf numFmtId="9" fontId="0" fillId="0" borderId="3" xfId="0" applyNumberFormat="1" applyFont="1" applyBorder="1" applyAlignment="1">
      <alignment horizontal="center" vertical="center"/>
    </xf>
    <xf numFmtId="0" fontId="0" fillId="0" borderId="3" xfId="0" applyFont="1" applyBorder="1" applyAlignment="1">
      <alignment horizontal="left" vertical="center" wrapText="1"/>
    </xf>
    <xf numFmtId="0" fontId="112" fillId="22" borderId="3" xfId="0" applyFont="1" applyFill="1" applyBorder="1" applyAlignment="1">
      <alignment horizontal="left" vertical="center" wrapText="1"/>
    </xf>
    <xf numFmtId="9" fontId="56" fillId="0" borderId="3" xfId="28" applyFont="1" applyBorder="1" applyAlignment="1">
      <alignment horizontal="center" vertical="center"/>
    </xf>
    <xf numFmtId="0" fontId="66" fillId="0" borderId="85" xfId="0" applyFont="1" applyFill="1" applyBorder="1" applyAlignment="1">
      <alignment horizontal="left" vertical="center" wrapText="1"/>
    </xf>
    <xf numFmtId="0" fontId="66" fillId="0" borderId="86" xfId="0" applyFont="1" applyFill="1" applyBorder="1" applyAlignment="1">
      <alignment horizontal="left" vertical="center" wrapText="1"/>
    </xf>
    <xf numFmtId="0" fontId="66" fillId="0" borderId="3" xfId="0" applyFont="1" applyFill="1" applyBorder="1" applyAlignment="1">
      <alignment vertical="center" wrapText="1"/>
    </xf>
    <xf numFmtId="0" fontId="123" fillId="0" borderId="9" xfId="0" applyFont="1" applyBorder="1" applyAlignment="1">
      <alignment horizontal="left" vertical="center" wrapText="1"/>
    </xf>
    <xf numFmtId="0" fontId="123" fillId="0" borderId="3" xfId="0" applyFont="1" applyBorder="1" applyAlignment="1">
      <alignment horizontal="left" vertical="center" wrapText="1"/>
    </xf>
    <xf numFmtId="0" fontId="124" fillId="0" borderId="3" xfId="0" applyFont="1" applyBorder="1" applyAlignment="1">
      <alignment horizontal="left" vertical="center" wrapText="1"/>
    </xf>
    <xf numFmtId="0" fontId="123" fillId="0" borderId="12" xfId="0" applyFont="1" applyBorder="1" applyAlignment="1">
      <alignment horizontal="left" vertical="center" wrapText="1"/>
    </xf>
    <xf numFmtId="0" fontId="123" fillId="22" borderId="9" xfId="0" applyFont="1" applyFill="1" applyBorder="1" applyAlignment="1">
      <alignment horizontal="left" vertical="center" wrapText="1"/>
    </xf>
    <xf numFmtId="0" fontId="123" fillId="22" borderId="3" xfId="0" applyFont="1" applyFill="1" applyBorder="1" applyAlignment="1">
      <alignment horizontal="left" vertical="center" wrapText="1"/>
    </xf>
    <xf numFmtId="0" fontId="124" fillId="22" borderId="3" xfId="0" applyFont="1" applyFill="1" applyBorder="1" applyAlignment="1">
      <alignment horizontal="left" vertical="center" wrapText="1"/>
    </xf>
    <xf numFmtId="0" fontId="123" fillId="22" borderId="12" xfId="0" applyFont="1" applyFill="1" applyBorder="1" applyAlignment="1">
      <alignment horizontal="left" vertical="center" wrapText="1"/>
    </xf>
    <xf numFmtId="0" fontId="0" fillId="22" borderId="12" xfId="0" applyFill="1" applyBorder="1" applyAlignment="1">
      <alignment horizontal="center" vertical="center" wrapText="1"/>
    </xf>
    <xf numFmtId="0" fontId="0" fillId="22" borderId="3" xfId="0" applyFill="1" applyBorder="1" applyAlignment="1">
      <alignment horizontal="center" vertical="center" wrapText="1"/>
    </xf>
    <xf numFmtId="0" fontId="112" fillId="22" borderId="19" xfId="0" applyFont="1" applyFill="1" applyBorder="1" applyAlignment="1">
      <alignment vertical="center" wrapText="1"/>
    </xf>
    <xf numFmtId="10" fontId="112" fillId="0" borderId="3" xfId="28" applyNumberFormat="1" applyFont="1" applyFill="1" applyBorder="1" applyAlignment="1">
      <alignment horizontal="center" vertical="center" wrapText="1"/>
    </xf>
    <xf numFmtId="0" fontId="0" fillId="36" borderId="3" xfId="0" applyFont="1" applyFill="1" applyBorder="1" applyAlignment="1">
      <alignment horizontal="center" vertical="center" wrapText="1"/>
    </xf>
    <xf numFmtId="9" fontId="56" fillId="0" borderId="3" xfId="28" applyFont="1" applyBorder="1" applyAlignment="1">
      <alignment horizontal="center" vertical="center"/>
    </xf>
    <xf numFmtId="0" fontId="0" fillId="22" borderId="9" xfId="0" applyFont="1" applyFill="1" applyBorder="1" applyAlignment="1">
      <alignment vertical="center" wrapText="1"/>
    </xf>
    <xf numFmtId="9" fontId="56" fillId="0" borderId="3" xfId="28" applyFont="1" applyBorder="1" applyAlignment="1">
      <alignment horizontal="center" vertical="center"/>
    </xf>
    <xf numFmtId="0" fontId="0" fillId="0" borderId="11" xfId="0" applyFont="1" applyBorder="1" applyAlignment="1">
      <alignment horizontal="center" vertical="center" wrapText="1"/>
    </xf>
    <xf numFmtId="9" fontId="99" fillId="22" borderId="65" xfId="0" applyNumberFormat="1" applyFont="1" applyFill="1" applyBorder="1" applyAlignment="1">
      <alignment horizontal="center" vertical="center"/>
    </xf>
    <xf numFmtId="0" fontId="0" fillId="22" borderId="3" xfId="0" applyFont="1" applyFill="1" applyBorder="1" applyAlignment="1">
      <alignment horizontal="left" vertical="center" wrapText="1"/>
    </xf>
    <xf numFmtId="0" fontId="0" fillId="22" borderId="3" xfId="0" applyFont="1" applyFill="1" applyBorder="1" applyAlignment="1">
      <alignment horizontal="left" vertical="center" wrapText="1"/>
    </xf>
    <xf numFmtId="0" fontId="112" fillId="22" borderId="3" xfId="0" applyFont="1" applyFill="1" applyBorder="1" applyAlignment="1">
      <alignment horizontal="left" vertical="center" wrapText="1"/>
    </xf>
    <xf numFmtId="0" fontId="69" fillId="22" borderId="3" xfId="0" applyFont="1" applyFill="1" applyBorder="1" applyAlignment="1">
      <alignment horizontal="center" vertical="center" wrapText="1"/>
    </xf>
    <xf numFmtId="9" fontId="0" fillId="0" borderId="3" xfId="0" applyNumberFormat="1" applyFont="1" applyBorder="1" applyAlignment="1">
      <alignment horizontal="center" vertical="center"/>
    </xf>
    <xf numFmtId="0" fontId="121" fillId="22" borderId="3" xfId="0" applyFont="1" applyFill="1" applyBorder="1" applyAlignment="1">
      <alignment horizontal="center" vertical="center" wrapText="1"/>
    </xf>
    <xf numFmtId="0" fontId="0" fillId="22" borderId="12" xfId="0" applyFont="1" applyFill="1" applyBorder="1" applyAlignment="1">
      <alignment vertical="center"/>
    </xf>
    <xf numFmtId="9" fontId="0" fillId="22" borderId="3" xfId="0" applyNumberFormat="1" applyFont="1" applyFill="1" applyBorder="1" applyAlignment="1">
      <alignment horizontal="left" vertical="center" wrapText="1"/>
    </xf>
    <xf numFmtId="0" fontId="0" fillId="22" borderId="3" xfId="0" applyFont="1" applyFill="1" applyBorder="1" applyAlignment="1">
      <alignment horizontal="left" vertical="center" wrapText="1" readingOrder="1"/>
    </xf>
    <xf numFmtId="10" fontId="0" fillId="13" borderId="0" xfId="0" applyNumberFormat="1" applyFont="1" applyFill="1"/>
    <xf numFmtId="10" fontId="0" fillId="0" borderId="0" xfId="0" applyNumberFormat="1" applyFont="1"/>
    <xf numFmtId="10" fontId="75" fillId="0" borderId="0" xfId="28" applyNumberFormat="1" applyFont="1" applyAlignment="1">
      <alignment vertical="center"/>
    </xf>
    <xf numFmtId="172" fontId="75" fillId="0" borderId="0" xfId="28" applyNumberFormat="1" applyFont="1" applyAlignment="1">
      <alignment vertical="center"/>
    </xf>
    <xf numFmtId="0" fontId="102" fillId="14" borderId="87" xfId="24" applyFont="1" applyFill="1" applyBorder="1" applyAlignment="1">
      <alignment horizontal="center" vertical="center" wrapText="1"/>
    </xf>
    <xf numFmtId="0" fontId="102" fillId="14" borderId="88" xfId="24" applyFont="1" applyFill="1" applyBorder="1" applyAlignment="1">
      <alignment horizontal="center" vertical="center"/>
    </xf>
    <xf numFmtId="0" fontId="61" fillId="22" borderId="3" xfId="0" applyFont="1" applyFill="1" applyBorder="1" applyAlignment="1">
      <alignment horizontal="center" vertical="center"/>
    </xf>
    <xf numFmtId="0" fontId="61" fillId="22" borderId="20" xfId="0" applyFont="1" applyFill="1" applyBorder="1" applyAlignment="1">
      <alignment horizontal="center" vertical="center"/>
    </xf>
    <xf numFmtId="0" fontId="61" fillId="22" borderId="9" xfId="0" applyFont="1" applyFill="1" applyBorder="1" applyAlignment="1">
      <alignment horizontal="center" vertical="center"/>
    </xf>
    <xf numFmtId="15" fontId="61" fillId="26" borderId="3" xfId="0" applyNumberFormat="1" applyFont="1" applyFill="1" applyBorder="1" applyAlignment="1">
      <alignment horizontal="center" vertical="center"/>
    </xf>
    <xf numFmtId="15" fontId="61" fillId="22" borderId="3" xfId="0" applyNumberFormat="1" applyFont="1" applyFill="1" applyBorder="1" applyAlignment="1">
      <alignment horizontal="center" vertical="center" wrapText="1"/>
    </xf>
    <xf numFmtId="15" fontId="61" fillId="22" borderId="3" xfId="0" applyNumberFormat="1" applyFont="1" applyFill="1" applyBorder="1" applyAlignment="1">
      <alignment horizontal="center" vertical="center"/>
    </xf>
    <xf numFmtId="0" fontId="61" fillId="22" borderId="3"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61" fillId="0" borderId="3" xfId="0" applyFont="1" applyBorder="1" applyAlignment="1">
      <alignment horizontal="center" vertical="center" wrapText="1"/>
    </xf>
    <xf numFmtId="0" fontId="61" fillId="0" borderId="0" xfId="0" applyFont="1" applyAlignment="1">
      <alignment horizontal="center" wrapText="1"/>
    </xf>
    <xf numFmtId="0" fontId="61" fillId="0" borderId="3" xfId="0" applyFont="1" applyBorder="1" applyAlignment="1">
      <alignment horizontal="center" wrapText="1"/>
    </xf>
    <xf numFmtId="0" fontId="61" fillId="0" borderId="9" xfId="0" applyFont="1" applyBorder="1" applyAlignment="1">
      <alignment horizontal="center" wrapText="1"/>
    </xf>
    <xf numFmtId="0" fontId="61" fillId="0" borderId="12" xfId="0" applyFont="1" applyBorder="1" applyAlignment="1">
      <alignment horizontal="center" wrapText="1"/>
    </xf>
    <xf numFmtId="0" fontId="61" fillId="0" borderId="9" xfId="0" applyFont="1" applyBorder="1" applyAlignment="1">
      <alignment horizontal="center" vertical="center" wrapText="1"/>
    </xf>
    <xf numFmtId="0" fontId="61" fillId="0" borderId="12" xfId="0" applyFont="1" applyBorder="1" applyAlignment="1">
      <alignment horizontal="center" vertical="center" wrapText="1"/>
    </xf>
    <xf numFmtId="0" fontId="61" fillId="0" borderId="0" xfId="0" applyFont="1" applyBorder="1" applyAlignment="1">
      <alignment horizontal="center" vertical="center" wrapText="1"/>
    </xf>
    <xf numFmtId="0" fontId="104" fillId="22" borderId="3" xfId="0" applyFont="1" applyFill="1" applyBorder="1" applyAlignment="1">
      <alignment horizontal="center" vertical="center" wrapText="1" readingOrder="1"/>
    </xf>
    <xf numFmtId="9" fontId="61" fillId="22" borderId="3" xfId="0" applyNumberFormat="1" applyFont="1" applyFill="1" applyBorder="1" applyAlignment="1">
      <alignment horizontal="center" vertical="center" wrapText="1"/>
    </xf>
    <xf numFmtId="15" fontId="61" fillId="26" borderId="9" xfId="0" applyNumberFormat="1" applyFont="1" applyFill="1" applyBorder="1" applyAlignment="1">
      <alignment horizontal="center" vertical="center"/>
    </xf>
    <xf numFmtId="15" fontId="61" fillId="26" borderId="12" xfId="0" applyNumberFormat="1" applyFont="1" applyFill="1" applyBorder="1" applyAlignment="1">
      <alignment horizontal="center" vertical="center"/>
    </xf>
    <xf numFmtId="0" fontId="2" fillId="23" borderId="3" xfId="0" applyFont="1" applyFill="1" applyBorder="1" applyAlignment="1">
      <alignment horizontal="center" vertical="center" wrapText="1"/>
    </xf>
    <xf numFmtId="1" fontId="61" fillId="22" borderId="3" xfId="0" applyNumberFormat="1" applyFont="1" applyFill="1" applyBorder="1" applyAlignment="1">
      <alignment horizontal="center" vertical="center" wrapText="1"/>
    </xf>
    <xf numFmtId="0" fontId="61" fillId="27" borderId="3" xfId="0" applyFont="1" applyFill="1" applyBorder="1" applyAlignment="1">
      <alignment horizontal="center" vertical="center" wrapText="1"/>
    </xf>
    <xf numFmtId="0" fontId="61" fillId="26" borderId="3" xfId="0" applyFont="1" applyFill="1" applyBorder="1" applyAlignment="1">
      <alignment horizontal="center" vertical="center" wrapText="1"/>
    </xf>
    <xf numFmtId="9" fontId="2" fillId="22" borderId="3" xfId="0" applyNumberFormat="1" applyFont="1" applyFill="1" applyBorder="1" applyAlignment="1">
      <alignment horizontal="center" vertical="center" wrapText="1"/>
    </xf>
    <xf numFmtId="1" fontId="2" fillId="22" borderId="3" xfId="0" applyNumberFormat="1" applyFont="1" applyFill="1" applyBorder="1" applyAlignment="1">
      <alignment horizontal="center" vertical="center" wrapText="1"/>
    </xf>
    <xf numFmtId="9" fontId="79" fillId="22" borderId="3" xfId="0" applyNumberFormat="1" applyFont="1" applyFill="1" applyBorder="1" applyAlignment="1">
      <alignment horizontal="center" vertical="center" wrapText="1"/>
    </xf>
    <xf numFmtId="0" fontId="79" fillId="22" borderId="3" xfId="0" applyFont="1" applyFill="1" applyBorder="1" applyAlignment="1">
      <alignment horizontal="center" vertical="center" wrapText="1"/>
    </xf>
    <xf numFmtId="0" fontId="104" fillId="33" borderId="9" xfId="0" applyFont="1" applyFill="1" applyBorder="1" applyAlignment="1">
      <alignment horizontal="center" vertical="center" readingOrder="1"/>
    </xf>
    <xf numFmtId="0" fontId="104" fillId="33" borderId="11" xfId="0" applyFont="1" applyFill="1" applyBorder="1" applyAlignment="1">
      <alignment horizontal="center" vertical="center" readingOrder="1"/>
    </xf>
    <xf numFmtId="0" fontId="104" fillId="33" borderId="89" xfId="0" applyFont="1" applyFill="1" applyBorder="1" applyAlignment="1">
      <alignment horizontal="center" vertical="center" readingOrder="1"/>
    </xf>
    <xf numFmtId="0" fontId="61" fillId="27" borderId="33" xfId="0" applyFont="1" applyFill="1" applyBorder="1" applyAlignment="1">
      <alignment horizontal="center" vertical="center" wrapText="1"/>
    </xf>
    <xf numFmtId="0" fontId="61" fillId="27" borderId="11" xfId="0" applyFont="1" applyFill="1" applyBorder="1" applyAlignment="1">
      <alignment horizontal="center" vertical="center" wrapText="1"/>
    </xf>
    <xf numFmtId="0" fontId="61" fillId="27" borderId="9" xfId="0" applyFont="1" applyFill="1" applyBorder="1" applyAlignment="1">
      <alignment horizontal="center" vertical="center"/>
    </xf>
    <xf numFmtId="0" fontId="61" fillId="27" borderId="89" xfId="0" applyFont="1" applyFill="1" applyBorder="1" applyAlignment="1">
      <alignment horizontal="center" vertical="center"/>
    </xf>
    <xf numFmtId="0" fontId="61" fillId="32" borderId="33" xfId="0" applyFont="1" applyFill="1" applyBorder="1" applyAlignment="1">
      <alignment horizontal="center" vertical="center" wrapText="1"/>
    </xf>
    <xf numFmtId="0" fontId="61" fillId="32" borderId="11" xfId="0" applyFont="1" applyFill="1" applyBorder="1" applyAlignment="1">
      <alignment horizontal="center" vertical="center" wrapText="1"/>
    </xf>
    <xf numFmtId="0" fontId="61" fillId="32" borderId="12" xfId="0" applyFont="1" applyFill="1" applyBorder="1" applyAlignment="1">
      <alignment horizontal="center" vertical="center" wrapText="1"/>
    </xf>
    <xf numFmtId="0" fontId="61" fillId="32" borderId="3" xfId="0" applyFont="1" applyFill="1" applyBorder="1" applyAlignment="1">
      <alignment horizontal="center" vertical="center" wrapText="1"/>
    </xf>
    <xf numFmtId="0" fontId="61" fillId="27" borderId="12" xfId="0" applyFont="1" applyFill="1" applyBorder="1" applyAlignment="1">
      <alignment horizontal="center" vertical="center" wrapText="1"/>
    </xf>
    <xf numFmtId="0" fontId="61" fillId="22" borderId="3" xfId="19" applyFont="1" applyFill="1" applyBorder="1" applyAlignment="1" applyProtection="1">
      <alignment horizontal="center" vertical="center" wrapText="1"/>
      <protection locked="0"/>
    </xf>
    <xf numFmtId="0" fontId="125" fillId="22" borderId="3" xfId="0" applyFont="1" applyFill="1" applyBorder="1" applyAlignment="1">
      <alignment horizontal="center" vertical="center" wrapText="1"/>
    </xf>
    <xf numFmtId="0" fontId="61" fillId="33" borderId="3" xfId="0" applyFont="1" applyFill="1" applyBorder="1" applyAlignment="1">
      <alignment horizontal="center" vertical="center"/>
    </xf>
    <xf numFmtId="0" fontId="79" fillId="22" borderId="3" xfId="0" applyFont="1" applyFill="1" applyBorder="1" applyAlignment="1">
      <alignment horizontal="center" vertical="center"/>
    </xf>
    <xf numFmtId="0" fontId="61" fillId="23" borderId="3" xfId="0" applyFont="1" applyFill="1" applyBorder="1" applyAlignment="1">
      <alignment horizontal="center" vertical="center"/>
    </xf>
    <xf numFmtId="0" fontId="61" fillId="23" borderId="3" xfId="0" applyFont="1" applyFill="1" applyBorder="1" applyAlignment="1">
      <alignment horizontal="center" vertical="center" wrapText="1"/>
    </xf>
    <xf numFmtId="49" fontId="61" fillId="22" borderId="3" xfId="19" applyNumberFormat="1" applyFont="1" applyFill="1" applyBorder="1" applyAlignment="1" applyProtection="1">
      <alignment horizontal="center" vertical="center" wrapText="1"/>
      <protection locked="0"/>
    </xf>
    <xf numFmtId="9" fontId="61" fillId="22" borderId="3" xfId="0" applyNumberFormat="1" applyFont="1" applyFill="1" applyBorder="1" applyAlignment="1">
      <alignment horizontal="center" vertical="center"/>
    </xf>
    <xf numFmtId="0" fontId="61" fillId="22" borderId="11" xfId="0" applyFont="1" applyFill="1" applyBorder="1" applyAlignment="1">
      <alignment horizontal="center" vertical="center"/>
    </xf>
    <xf numFmtId="0" fontId="61" fillId="22" borderId="12" xfId="0" applyFont="1" applyFill="1" applyBorder="1" applyAlignment="1">
      <alignment horizontal="center" vertical="center"/>
    </xf>
    <xf numFmtId="0" fontId="61" fillId="22" borderId="9" xfId="0" applyFont="1" applyFill="1" applyBorder="1" applyAlignment="1">
      <alignment horizontal="center" vertical="center" wrapText="1"/>
    </xf>
    <xf numFmtId="0" fontId="61" fillId="22" borderId="11" xfId="0" applyFont="1" applyFill="1" applyBorder="1" applyAlignment="1">
      <alignment horizontal="center" vertical="center" wrapText="1"/>
    </xf>
    <xf numFmtId="0" fontId="61" fillId="22" borderId="12" xfId="0" applyFont="1" applyFill="1" applyBorder="1" applyAlignment="1">
      <alignment horizontal="center" vertical="center" wrapText="1"/>
    </xf>
    <xf numFmtId="0" fontId="2" fillId="22" borderId="3" xfId="0" applyFont="1" applyFill="1" applyBorder="1" applyAlignment="1">
      <alignment horizontal="center" vertical="center" wrapText="1" readingOrder="1"/>
    </xf>
    <xf numFmtId="0" fontId="2" fillId="0" borderId="3" xfId="0" applyFont="1" applyFill="1" applyBorder="1" applyAlignment="1">
      <alignment horizontal="center" vertical="center" wrapText="1" readingOrder="1"/>
    </xf>
    <xf numFmtId="0" fontId="2" fillId="0" borderId="3" xfId="0" applyFont="1" applyFill="1" applyBorder="1" applyAlignment="1">
      <alignment horizontal="center" vertical="center" wrapText="1"/>
    </xf>
    <xf numFmtId="0" fontId="2" fillId="26" borderId="3" xfId="0" applyFont="1" applyFill="1" applyBorder="1" applyAlignment="1">
      <alignment horizontal="center" vertical="center" wrapText="1"/>
    </xf>
    <xf numFmtId="9" fontId="2" fillId="26" borderId="3" xfId="0" applyNumberFormat="1" applyFont="1" applyFill="1" applyBorder="1" applyAlignment="1">
      <alignment horizontal="center" vertical="center" wrapText="1"/>
    </xf>
    <xf numFmtId="0" fontId="2" fillId="26" borderId="3" xfId="0" applyFont="1" applyFill="1" applyBorder="1" applyAlignment="1">
      <alignment horizontal="center" vertical="center" wrapText="1" readingOrder="1"/>
    </xf>
    <xf numFmtId="9" fontId="2" fillId="0" borderId="3" xfId="0" applyNumberFormat="1"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0" fontId="61" fillId="0" borderId="3" xfId="0" applyFont="1" applyFill="1" applyBorder="1" applyAlignment="1">
      <alignment horizontal="center" vertical="center" wrapText="1"/>
    </xf>
    <xf numFmtId="1" fontId="2" fillId="23" borderId="3" xfId="0" applyNumberFormat="1" applyFont="1" applyFill="1" applyBorder="1" applyAlignment="1">
      <alignment horizontal="center" vertical="center" wrapText="1"/>
    </xf>
    <xf numFmtId="1" fontId="2" fillId="26" borderId="3" xfId="0" applyNumberFormat="1" applyFont="1" applyFill="1" applyBorder="1" applyAlignment="1">
      <alignment horizontal="center" vertical="center" wrapText="1"/>
    </xf>
    <xf numFmtId="0" fontId="2" fillId="23" borderId="9" xfId="0" applyFont="1" applyFill="1" applyBorder="1" applyAlignment="1">
      <alignment horizontal="center" vertical="center" wrapText="1"/>
    </xf>
    <xf numFmtId="0" fontId="2" fillId="23" borderId="11" xfId="0" applyFont="1" applyFill="1" applyBorder="1" applyAlignment="1">
      <alignment horizontal="center" vertical="center" wrapText="1"/>
    </xf>
    <xf numFmtId="0" fontId="2" fillId="23" borderId="12" xfId="0" applyFont="1" applyFill="1" applyBorder="1" applyAlignment="1">
      <alignment horizontal="center" vertical="center" wrapText="1"/>
    </xf>
    <xf numFmtId="0" fontId="61" fillId="22" borderId="65" xfId="0" applyFont="1" applyFill="1" applyBorder="1" applyAlignment="1">
      <alignment horizontal="center" vertical="center" wrapText="1"/>
    </xf>
    <xf numFmtId="0" fontId="61" fillId="22" borderId="22" xfId="0" applyFont="1" applyFill="1" applyBorder="1" applyAlignment="1">
      <alignment horizontal="center" vertical="center" wrapText="1"/>
    </xf>
    <xf numFmtId="0" fontId="61" fillId="22" borderId="13" xfId="0" applyFont="1" applyFill="1" applyBorder="1" applyAlignment="1">
      <alignment horizontal="center" vertical="center" wrapText="1"/>
    </xf>
    <xf numFmtId="9" fontId="61" fillId="26" borderId="3" xfId="0" applyNumberFormat="1" applyFont="1" applyFill="1" applyBorder="1" applyAlignment="1">
      <alignment horizontal="center" vertical="center" wrapText="1"/>
    </xf>
    <xf numFmtId="0" fontId="61" fillId="22" borderId="3" xfId="0" applyFont="1" applyFill="1" applyBorder="1" applyAlignment="1" applyProtection="1">
      <alignment horizontal="center" vertical="center" wrapText="1"/>
    </xf>
    <xf numFmtId="0" fontId="110" fillId="5" borderId="227" xfId="7" applyFont="1" applyBorder="1" applyAlignment="1">
      <alignment horizontal="center" vertical="center" wrapText="1"/>
    </xf>
    <xf numFmtId="0" fontId="2" fillId="22" borderId="3" xfId="0" applyFont="1" applyFill="1" applyBorder="1" applyAlignment="1" applyProtection="1">
      <alignment horizontal="center" vertical="center" wrapText="1"/>
    </xf>
    <xf numFmtId="9" fontId="61" fillId="22" borderId="3" xfId="0" applyNumberFormat="1" applyFont="1" applyFill="1" applyBorder="1" applyAlignment="1" applyProtection="1">
      <alignment horizontal="center" vertical="center" wrapText="1"/>
    </xf>
    <xf numFmtId="0" fontId="110" fillId="5" borderId="228" xfId="7" applyFont="1" applyBorder="1" applyAlignment="1">
      <alignment horizontal="center" vertical="center"/>
    </xf>
    <xf numFmtId="0" fontId="110" fillId="5" borderId="0" xfId="7" applyFont="1" applyBorder="1" applyAlignment="1">
      <alignment horizontal="center" vertical="center"/>
    </xf>
    <xf numFmtId="0" fontId="2" fillId="23" borderId="9" xfId="6" applyFont="1" applyFill="1" applyBorder="1" applyAlignment="1">
      <alignment horizontal="center" vertical="center" wrapText="1"/>
    </xf>
    <xf numFmtId="0" fontId="2" fillId="23" borderId="11" xfId="6" applyFont="1" applyFill="1" applyBorder="1" applyAlignment="1">
      <alignment horizontal="center" vertical="center" wrapText="1"/>
    </xf>
    <xf numFmtId="0" fontId="2" fillId="23" borderId="12" xfId="6" applyFont="1" applyFill="1" applyBorder="1" applyAlignment="1">
      <alignment horizontal="center" vertical="center" wrapText="1"/>
    </xf>
    <xf numFmtId="0" fontId="2" fillId="22" borderId="9" xfId="6" applyFont="1" applyFill="1" applyBorder="1" applyAlignment="1">
      <alignment horizontal="center" vertical="center" wrapText="1"/>
    </xf>
    <xf numFmtId="0" fontId="2" fillId="22" borderId="11" xfId="6" applyFont="1" applyFill="1" applyBorder="1" applyAlignment="1">
      <alignment horizontal="center" vertical="center" wrapText="1"/>
    </xf>
    <xf numFmtId="0" fontId="2" fillId="22" borderId="12" xfId="6" applyFont="1" applyFill="1" applyBorder="1" applyAlignment="1">
      <alignment horizontal="center" vertical="center" wrapText="1"/>
    </xf>
    <xf numFmtId="0" fontId="75" fillId="0" borderId="22" xfId="0" applyFont="1" applyBorder="1" applyAlignment="1">
      <alignment horizontal="left" vertical="center" wrapText="1"/>
    </xf>
    <xf numFmtId="0" fontId="107" fillId="5" borderId="65" xfId="7" applyFont="1" applyBorder="1" applyAlignment="1">
      <alignment horizontal="center" vertical="center"/>
    </xf>
    <xf numFmtId="0" fontId="107" fillId="5" borderId="10" xfId="7" applyFont="1" applyBorder="1" applyAlignment="1">
      <alignment horizontal="center" vertical="center"/>
    </xf>
    <xf numFmtId="0" fontId="75" fillId="0" borderId="90" xfId="0" applyFont="1" applyBorder="1" applyAlignment="1">
      <alignment horizontal="center" vertical="center" wrapText="1"/>
    </xf>
    <xf numFmtId="0" fontId="75" fillId="0" borderId="91" xfId="0" applyFont="1" applyBorder="1" applyAlignment="1">
      <alignment horizontal="center" vertical="center" wrapText="1"/>
    </xf>
    <xf numFmtId="0" fontId="112" fillId="22" borderId="11" xfId="6" applyFont="1" applyFill="1" applyBorder="1" applyAlignment="1">
      <alignment horizontal="center" vertical="center" wrapText="1"/>
    </xf>
    <xf numFmtId="0" fontId="112" fillId="22" borderId="12" xfId="6" applyFont="1" applyFill="1" applyBorder="1" applyAlignment="1">
      <alignment horizontal="center" vertical="center" wrapText="1"/>
    </xf>
    <xf numFmtId="0" fontId="68" fillId="5" borderId="230" xfId="7" applyFont="1" applyBorder="1" applyAlignment="1">
      <alignment horizontal="center" vertical="center" wrapText="1"/>
    </xf>
    <xf numFmtId="0" fontId="68" fillId="5" borderId="0" xfId="7" applyFont="1" applyAlignment="1">
      <alignment horizontal="center" vertical="center" wrapText="1"/>
    </xf>
    <xf numFmtId="0" fontId="68" fillId="5" borderId="231" xfId="7" applyFont="1" applyBorder="1" applyAlignment="1">
      <alignment horizontal="center" vertical="center" wrapText="1"/>
    </xf>
    <xf numFmtId="0" fontId="68" fillId="5" borderId="232" xfId="7" applyFont="1" applyBorder="1" applyAlignment="1">
      <alignment horizontal="center" vertical="center" wrapText="1"/>
    </xf>
    <xf numFmtId="0" fontId="68" fillId="5" borderId="233" xfId="7" applyFont="1" applyBorder="1" applyAlignment="1">
      <alignment horizontal="center" vertical="center" wrapText="1"/>
    </xf>
    <xf numFmtId="0" fontId="112" fillId="23" borderId="11" xfId="6" applyFont="1" applyFill="1" applyBorder="1" applyAlignment="1">
      <alignment horizontal="center" vertical="center" wrapText="1"/>
    </xf>
    <xf numFmtId="0" fontId="112" fillId="23" borderId="12" xfId="6" applyFont="1" applyFill="1" applyBorder="1" applyAlignment="1">
      <alignment horizontal="center" vertical="center" wrapText="1"/>
    </xf>
    <xf numFmtId="0" fontId="68" fillId="5" borderId="229" xfId="7" applyFont="1" applyBorder="1" applyAlignment="1">
      <alignment horizontal="center" vertical="center"/>
    </xf>
    <xf numFmtId="9" fontId="112" fillId="0" borderId="3" xfId="0" applyNumberFormat="1" applyFont="1" applyBorder="1" applyAlignment="1">
      <alignment horizontal="center" vertical="center" wrapText="1"/>
    </xf>
    <xf numFmtId="0" fontId="112" fillId="0" borderId="3" xfId="0" applyFont="1" applyBorder="1" applyAlignment="1">
      <alignment horizontal="center" vertical="center" wrapText="1"/>
    </xf>
    <xf numFmtId="0" fontId="112" fillId="0" borderId="9" xfId="0" applyFont="1" applyBorder="1" applyAlignment="1">
      <alignment horizontal="left" vertical="center" wrapText="1"/>
    </xf>
    <xf numFmtId="0" fontId="112" fillId="0" borderId="12" xfId="0" applyFont="1" applyBorder="1" applyAlignment="1">
      <alignment horizontal="left" vertical="center" wrapText="1"/>
    </xf>
    <xf numFmtId="9" fontId="112" fillId="0" borderId="9" xfId="0" applyNumberFormat="1" applyFont="1" applyBorder="1" applyAlignment="1">
      <alignment horizontal="center" vertical="center" wrapText="1"/>
    </xf>
    <xf numFmtId="0" fontId="112" fillId="0" borderId="11" xfId="0" applyFont="1" applyBorder="1" applyAlignment="1">
      <alignment horizontal="center" vertical="center" wrapText="1"/>
    </xf>
    <xf numFmtId="0" fontId="112" fillId="0" borderId="12" xfId="0" applyFont="1" applyBorder="1" applyAlignment="1">
      <alignment horizontal="center" vertical="center" wrapText="1"/>
    </xf>
    <xf numFmtId="0" fontId="68" fillId="5" borderId="0" xfId="7" applyFont="1" applyBorder="1" applyAlignment="1">
      <alignment horizontal="center" vertical="center" wrapText="1"/>
    </xf>
    <xf numFmtId="0" fontId="68" fillId="5" borderId="234" xfId="7" applyFont="1" applyBorder="1" applyAlignment="1">
      <alignment horizontal="center" vertical="center" wrapText="1"/>
    </xf>
    <xf numFmtId="0" fontId="68" fillId="5" borderId="235" xfId="7" applyFont="1" applyBorder="1" applyAlignment="1">
      <alignment horizontal="center" vertical="center" wrapText="1"/>
    </xf>
    <xf numFmtId="0" fontId="68" fillId="5" borderId="228" xfId="7" applyFont="1" applyBorder="1" applyAlignment="1">
      <alignment horizontal="center" vertical="center" wrapText="1"/>
    </xf>
    <xf numFmtId="0" fontId="0" fillId="23" borderId="3" xfId="0" applyFont="1" applyFill="1" applyBorder="1" applyAlignment="1">
      <alignment horizontal="center" vertical="center" wrapText="1"/>
    </xf>
    <xf numFmtId="0" fontId="0" fillId="22" borderId="3" xfId="0" applyFont="1" applyFill="1" applyBorder="1" applyAlignment="1">
      <alignment horizontal="center" vertical="center" wrapText="1"/>
    </xf>
    <xf numFmtId="9" fontId="0" fillId="0" borderId="3" xfId="0" applyNumberFormat="1" applyFont="1" applyBorder="1" applyAlignment="1">
      <alignment horizontal="center" vertical="center"/>
    </xf>
    <xf numFmtId="0" fontId="0" fillId="0" borderId="3" xfId="0" applyFont="1" applyBorder="1" applyAlignment="1">
      <alignment horizontal="center" vertical="center"/>
    </xf>
    <xf numFmtId="0" fontId="0" fillId="0" borderId="3" xfId="0" applyFont="1" applyBorder="1" applyAlignment="1">
      <alignment horizontal="center" vertical="center" wrapText="1"/>
    </xf>
    <xf numFmtId="0" fontId="112" fillId="22" borderId="3" xfId="0" applyFont="1" applyFill="1" applyBorder="1" applyAlignment="1" applyProtection="1">
      <alignment horizontal="center" vertical="center" wrapText="1"/>
    </xf>
    <xf numFmtId="9" fontId="0" fillId="22" borderId="3" xfId="0" applyNumberFormat="1" applyFont="1" applyFill="1" applyBorder="1" applyAlignment="1" applyProtection="1">
      <alignment horizontal="center" vertical="center" wrapText="1"/>
    </xf>
    <xf numFmtId="0" fontId="0" fillId="22" borderId="3" xfId="0" applyFont="1" applyFill="1" applyBorder="1" applyAlignment="1" applyProtection="1">
      <alignment horizontal="center" vertical="center" wrapText="1"/>
    </xf>
    <xf numFmtId="9" fontId="112" fillId="22" borderId="3"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2" xfId="0" applyFont="1" applyBorder="1" applyAlignment="1">
      <alignment horizontal="center" vertical="center" wrapText="1"/>
    </xf>
    <xf numFmtId="166" fontId="112" fillId="22" borderId="3" xfId="28" applyNumberFormat="1" applyFont="1" applyFill="1" applyBorder="1" applyAlignment="1">
      <alignment horizontal="center" vertical="center"/>
    </xf>
    <xf numFmtId="166" fontId="56" fillId="0" borderId="3" xfId="28" applyNumberFormat="1" applyFont="1" applyBorder="1" applyAlignment="1">
      <alignment horizontal="center" vertical="center"/>
    </xf>
    <xf numFmtId="0" fontId="99" fillId="0" borderId="65" xfId="0" applyFont="1" applyBorder="1" applyAlignment="1">
      <alignment horizontal="center" wrapText="1"/>
    </xf>
    <xf numFmtId="0" fontId="99" fillId="0" borderId="13" xfId="0" applyFont="1" applyBorder="1" applyAlignment="1">
      <alignment horizontal="center"/>
    </xf>
    <xf numFmtId="0" fontId="53" fillId="0" borderId="35" xfId="0" applyFont="1" applyBorder="1" applyAlignment="1">
      <alignment horizontal="center" vertical="center" wrapText="1"/>
    </xf>
    <xf numFmtId="0" fontId="53" fillId="0" borderId="16" xfId="0" applyFont="1" applyBorder="1" applyAlignment="1">
      <alignment horizontal="center" vertical="center" wrapText="1"/>
    </xf>
    <xf numFmtId="9" fontId="112" fillId="0" borderId="9" xfId="28" applyFont="1" applyFill="1" applyBorder="1" applyAlignment="1">
      <alignment horizontal="center" vertical="center" wrapText="1"/>
    </xf>
    <xf numFmtId="9" fontId="112" fillId="0" borderId="12" xfId="28" applyFont="1" applyFill="1" applyBorder="1" applyAlignment="1">
      <alignment horizontal="center" vertical="center" wrapText="1"/>
    </xf>
    <xf numFmtId="0" fontId="53" fillId="0" borderId="35" xfId="0" applyFont="1" applyBorder="1" applyAlignment="1">
      <alignment horizontal="center" wrapText="1"/>
    </xf>
    <xf numFmtId="0" fontId="53" fillId="0" borderId="16" xfId="0" applyFont="1" applyBorder="1" applyAlignment="1">
      <alignment horizontal="center" wrapText="1"/>
    </xf>
    <xf numFmtId="0" fontId="53" fillId="0" borderId="19" xfId="0" applyFont="1" applyBorder="1" applyAlignment="1">
      <alignment horizontal="center" wrapText="1"/>
    </xf>
    <xf numFmtId="9" fontId="56" fillId="0" borderId="3" xfId="28" applyFont="1" applyFill="1" applyBorder="1" applyAlignment="1">
      <alignment horizontal="center" vertical="center"/>
    </xf>
    <xf numFmtId="0" fontId="53" fillId="22" borderId="65" xfId="0" applyFont="1" applyFill="1" applyBorder="1" applyAlignment="1">
      <alignment horizontal="center" vertical="center" wrapText="1"/>
    </xf>
    <xf numFmtId="0" fontId="53" fillId="22" borderId="22" xfId="0" applyFont="1" applyFill="1" applyBorder="1" applyAlignment="1">
      <alignment horizontal="center" vertical="center" wrapText="1"/>
    </xf>
    <xf numFmtId="0" fontId="53" fillId="22" borderId="13" xfId="0" applyFont="1" applyFill="1" applyBorder="1" applyAlignment="1">
      <alignment horizontal="center" vertical="center" wrapText="1"/>
    </xf>
    <xf numFmtId="0" fontId="53" fillId="22" borderId="35" xfId="0" applyFont="1" applyFill="1" applyBorder="1" applyAlignment="1">
      <alignment horizontal="left" vertical="center" wrapText="1"/>
    </xf>
    <xf numFmtId="0" fontId="53" fillId="22" borderId="16" xfId="0" applyFont="1" applyFill="1" applyBorder="1" applyAlignment="1">
      <alignment horizontal="left" vertical="center" wrapText="1"/>
    </xf>
    <xf numFmtId="0" fontId="53" fillId="22" borderId="19" xfId="0" applyFont="1" applyFill="1" applyBorder="1" applyAlignment="1">
      <alignment horizontal="left" vertical="center" wrapText="1"/>
    </xf>
    <xf numFmtId="9" fontId="56" fillId="0" borderId="3" xfId="28" applyFont="1" applyFill="1" applyBorder="1" applyAlignment="1">
      <alignment horizontal="center" vertical="center" wrapText="1"/>
    </xf>
    <xf numFmtId="0" fontId="53" fillId="0" borderId="65"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13" xfId="0" applyFont="1" applyBorder="1" applyAlignment="1">
      <alignment horizontal="center" vertical="center" wrapText="1"/>
    </xf>
    <xf numFmtId="0" fontId="112" fillId="23" borderId="15" xfId="0" applyFont="1" applyFill="1" applyBorder="1" applyAlignment="1">
      <alignment horizontal="center" vertical="center" wrapText="1"/>
    </xf>
    <xf numFmtId="0" fontId="112" fillId="22" borderId="3" xfId="0" applyFont="1" applyFill="1" applyBorder="1" applyAlignment="1">
      <alignment horizontal="center" vertical="center" wrapText="1"/>
    </xf>
    <xf numFmtId="1" fontId="112" fillId="22" borderId="3" xfId="0" applyNumberFormat="1" applyFont="1" applyFill="1" applyBorder="1" applyAlignment="1">
      <alignment horizontal="center" vertical="center" wrapText="1"/>
    </xf>
    <xf numFmtId="0" fontId="68" fillId="39" borderId="230" xfId="7" applyFont="1" applyFill="1" applyBorder="1" applyAlignment="1">
      <alignment horizontal="center" vertical="center"/>
    </xf>
    <xf numFmtId="0" fontId="68" fillId="39" borderId="0" xfId="7" applyFont="1" applyFill="1" applyBorder="1" applyAlignment="1">
      <alignment horizontal="center" vertical="center"/>
    </xf>
    <xf numFmtId="0" fontId="68" fillId="39" borderId="234" xfId="7" applyFont="1" applyFill="1" applyBorder="1" applyAlignment="1">
      <alignment horizontal="center" vertical="center"/>
    </xf>
    <xf numFmtId="9" fontId="112" fillId="22" borderId="3" xfId="28" applyFont="1" applyFill="1" applyBorder="1" applyAlignment="1">
      <alignment horizontal="center" vertical="center"/>
    </xf>
    <xf numFmtId="0" fontId="68" fillId="39" borderId="230" xfId="7" applyFont="1" applyFill="1" applyBorder="1" applyAlignment="1">
      <alignment horizontal="center" vertical="center" wrapText="1"/>
    </xf>
    <xf numFmtId="0" fontId="68" fillId="39" borderId="0" xfId="7" applyFont="1" applyFill="1" applyAlignment="1">
      <alignment horizontal="center" vertical="center" wrapText="1"/>
    </xf>
    <xf numFmtId="0" fontId="0" fillId="0" borderId="3" xfId="0" applyFont="1" applyBorder="1" applyAlignment="1">
      <alignment horizontal="left" vertical="center" wrapText="1"/>
    </xf>
    <xf numFmtId="9" fontId="112" fillId="0" borderId="3" xfId="28" applyFont="1" applyFill="1" applyBorder="1" applyAlignment="1">
      <alignment horizontal="center" vertical="center" wrapText="1"/>
    </xf>
    <xf numFmtId="0" fontId="53" fillId="0" borderId="9" xfId="0" applyFont="1" applyBorder="1" applyAlignment="1">
      <alignment horizontal="center" vertical="center" wrapText="1"/>
    </xf>
    <xf numFmtId="0" fontId="53" fillId="0" borderId="11" xfId="0" applyFont="1" applyBorder="1" applyAlignment="1">
      <alignment horizontal="center" vertical="center" wrapText="1"/>
    </xf>
    <xf numFmtId="0" fontId="53" fillId="0" borderId="12" xfId="0" applyFont="1" applyBorder="1" applyAlignment="1">
      <alignment horizontal="center" vertical="center" wrapText="1"/>
    </xf>
    <xf numFmtId="9" fontId="112" fillId="22" borderId="3" xfId="28" applyFont="1" applyFill="1" applyBorder="1" applyAlignment="1">
      <alignment horizontal="center" vertical="center" wrapText="1"/>
    </xf>
    <xf numFmtId="0" fontId="53" fillId="22" borderId="9" xfId="0" applyFont="1" applyFill="1" applyBorder="1" applyAlignment="1">
      <alignment horizontal="center" vertical="center" wrapText="1"/>
    </xf>
    <xf numFmtId="0" fontId="53" fillId="22" borderId="11" xfId="0" applyFont="1" applyFill="1" applyBorder="1" applyAlignment="1">
      <alignment horizontal="center" vertical="center" wrapText="1"/>
    </xf>
    <xf numFmtId="0" fontId="53" fillId="22" borderId="12" xfId="0" applyFont="1" applyFill="1" applyBorder="1" applyAlignment="1">
      <alignment horizontal="center" vertical="center" wrapText="1"/>
    </xf>
    <xf numFmtId="0" fontId="53" fillId="22" borderId="9" xfId="0" applyFont="1" applyFill="1" applyBorder="1" applyAlignment="1">
      <alignment horizontal="left" vertical="center" wrapText="1"/>
    </xf>
    <xf numFmtId="0" fontId="53" fillId="22" borderId="11" xfId="0" applyFont="1" applyFill="1" applyBorder="1" applyAlignment="1">
      <alignment horizontal="left" vertical="center" wrapText="1"/>
    </xf>
    <xf numFmtId="0" fontId="53" fillId="22" borderId="12" xfId="0" applyFont="1" applyFill="1" applyBorder="1" applyAlignment="1">
      <alignment horizontal="left" vertical="center" wrapText="1"/>
    </xf>
    <xf numFmtId="9" fontId="112" fillId="22" borderId="9" xfId="28" applyFont="1" applyFill="1" applyBorder="1" applyAlignment="1">
      <alignment horizontal="center" vertical="center" wrapText="1"/>
    </xf>
    <xf numFmtId="9" fontId="112" fillId="22" borderId="11" xfId="28" applyFont="1" applyFill="1" applyBorder="1" applyAlignment="1">
      <alignment horizontal="center" vertical="center" wrapText="1"/>
    </xf>
    <xf numFmtId="9" fontId="112" fillId="22" borderId="12" xfId="28" applyFont="1" applyFill="1" applyBorder="1" applyAlignment="1">
      <alignment horizontal="center" vertical="center" wrapText="1"/>
    </xf>
    <xf numFmtId="0" fontId="68" fillId="5" borderId="231" xfId="7" applyFont="1" applyBorder="1" applyAlignment="1">
      <alignment horizontal="center" vertical="center"/>
    </xf>
    <xf numFmtId="0" fontId="68" fillId="5" borderId="232" xfId="7" applyFont="1" applyBorder="1" applyAlignment="1">
      <alignment horizontal="center" vertical="center"/>
    </xf>
    <xf numFmtId="0" fontId="68" fillId="5" borderId="233" xfId="7" applyFont="1" applyBorder="1" applyAlignment="1">
      <alignment horizontal="center" vertical="center"/>
    </xf>
    <xf numFmtId="0" fontId="0" fillId="23" borderId="15" xfId="0" applyFont="1" applyFill="1" applyBorder="1" applyAlignment="1">
      <alignment horizontal="center" vertical="center" wrapText="1"/>
    </xf>
    <xf numFmtId="9" fontId="0" fillId="22" borderId="3" xfId="0" applyNumberFormat="1" applyFont="1" applyFill="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12" fillId="0" borderId="13" xfId="0" applyFont="1" applyBorder="1" applyAlignment="1">
      <alignment horizontal="center" vertical="center" wrapText="1"/>
    </xf>
    <xf numFmtId="0" fontId="120" fillId="0" borderId="9" xfId="0" applyFont="1" applyBorder="1" applyAlignment="1">
      <alignment horizontal="center" vertical="center" wrapText="1"/>
    </xf>
    <xf numFmtId="0" fontId="120" fillId="0" borderId="11" xfId="0" applyFont="1" applyBorder="1" applyAlignment="1">
      <alignment horizontal="center" vertical="center" wrapText="1"/>
    </xf>
    <xf numFmtId="0" fontId="120" fillId="0" borderId="12" xfId="0" applyFont="1" applyBorder="1" applyAlignment="1">
      <alignment horizontal="center" vertical="center" wrapText="1"/>
    </xf>
    <xf numFmtId="0" fontId="112" fillId="0" borderId="9" xfId="0" applyFont="1" applyBorder="1" applyAlignment="1">
      <alignment horizontal="center" vertical="center" wrapText="1"/>
    </xf>
    <xf numFmtId="0" fontId="112" fillId="22" borderId="9" xfId="0" applyFont="1" applyFill="1" applyBorder="1" applyAlignment="1">
      <alignment horizontal="center" vertical="center" wrapText="1"/>
    </xf>
    <xf numFmtId="0" fontId="112" fillId="22" borderId="11" xfId="0" applyFont="1" applyFill="1" applyBorder="1" applyAlignment="1">
      <alignment horizontal="center" vertical="center" wrapText="1"/>
    </xf>
    <xf numFmtId="0" fontId="112" fillId="22" borderId="12" xfId="0" applyFont="1" applyFill="1" applyBorder="1" applyAlignment="1">
      <alignment horizontal="center" vertical="center" wrapText="1"/>
    </xf>
    <xf numFmtId="0" fontId="112" fillId="22" borderId="65" xfId="0" applyFont="1" applyFill="1" applyBorder="1" applyAlignment="1">
      <alignment horizontal="center" vertical="center" wrapText="1"/>
    </xf>
    <xf numFmtId="0" fontId="112" fillId="22" borderId="22" xfId="0" applyFont="1" applyFill="1" applyBorder="1" applyAlignment="1">
      <alignment horizontal="center" vertical="center" wrapText="1"/>
    </xf>
    <xf numFmtId="0" fontId="112" fillId="22" borderId="13" xfId="0" applyFont="1" applyFill="1" applyBorder="1" applyAlignment="1">
      <alignment horizontal="center" vertical="center" wrapText="1"/>
    </xf>
    <xf numFmtId="0" fontId="112" fillId="0" borderId="35" xfId="0" applyFont="1" applyBorder="1" applyAlignment="1">
      <alignment horizontal="left" vertical="center" wrapText="1"/>
    </xf>
    <xf numFmtId="0" fontId="112" fillId="0" borderId="16" xfId="0" applyFont="1" applyBorder="1" applyAlignment="1">
      <alignment horizontal="left" vertical="center" wrapText="1"/>
    </xf>
    <xf numFmtId="0" fontId="112" fillId="0" borderId="19" xfId="0" applyFont="1" applyBorder="1" applyAlignment="1">
      <alignment horizontal="left" vertical="center" wrapText="1"/>
    </xf>
    <xf numFmtId="0" fontId="112" fillId="0" borderId="11" xfId="0" applyFont="1" applyBorder="1" applyAlignment="1">
      <alignment horizontal="left" vertical="center" wrapText="1"/>
    </xf>
    <xf numFmtId="0" fontId="0" fillId="0" borderId="65" xfId="0" applyFont="1" applyBorder="1" applyAlignment="1">
      <alignment horizontal="center" wrapText="1"/>
    </xf>
    <xf numFmtId="0" fontId="0" fillId="0" borderId="13" xfId="0" applyFont="1" applyBorder="1" applyAlignment="1">
      <alignment horizontal="center"/>
    </xf>
    <xf numFmtId="0" fontId="112" fillId="0" borderId="35" xfId="0" applyFont="1" applyBorder="1" applyAlignment="1">
      <alignment horizontal="center" vertical="center" wrapText="1"/>
    </xf>
    <xf numFmtId="0" fontId="112" fillId="0" borderId="16" xfId="0" applyFont="1" applyBorder="1" applyAlignment="1">
      <alignment horizontal="center" vertical="center" wrapText="1"/>
    </xf>
    <xf numFmtId="0" fontId="120" fillId="22" borderId="9" xfId="0" applyFont="1" applyFill="1" applyBorder="1" applyAlignment="1">
      <alignment horizontal="center" vertical="center" wrapText="1"/>
    </xf>
    <xf numFmtId="0" fontId="120" fillId="22" borderId="11" xfId="0" applyFont="1" applyFill="1" applyBorder="1" applyAlignment="1">
      <alignment horizontal="center" vertical="center" wrapText="1"/>
    </xf>
    <xf numFmtId="0" fontId="120" fillId="22" borderId="12" xfId="0" applyFont="1" applyFill="1" applyBorder="1" applyAlignment="1">
      <alignment horizontal="center" vertical="center" wrapText="1"/>
    </xf>
    <xf numFmtId="0" fontId="112" fillId="0" borderId="19" xfId="0" applyFont="1" applyBorder="1" applyAlignment="1">
      <alignment horizontal="center" vertical="center" wrapText="1"/>
    </xf>
    <xf numFmtId="0" fontId="112" fillId="0" borderId="3" xfId="0" applyFont="1" applyFill="1" applyBorder="1" applyAlignment="1">
      <alignment horizontal="center" vertical="center" wrapText="1"/>
    </xf>
    <xf numFmtId="9" fontId="112" fillId="0" borderId="3" xfId="0" applyNumberFormat="1" applyFont="1" applyFill="1" applyBorder="1" applyAlignment="1">
      <alignment horizontal="center" vertical="center" wrapText="1"/>
    </xf>
    <xf numFmtId="0" fontId="68" fillId="5" borderId="15" xfId="7" applyFont="1" applyBorder="1" applyAlignment="1">
      <alignment horizontal="center" vertical="center"/>
    </xf>
    <xf numFmtId="0" fontId="68" fillId="5" borderId="64" xfId="7" applyFont="1" applyBorder="1" applyAlignment="1">
      <alignment horizontal="center" vertical="center"/>
    </xf>
    <xf numFmtId="0" fontId="68" fillId="5" borderId="20" xfId="7" applyFont="1" applyBorder="1" applyAlignment="1">
      <alignment horizontal="center" vertical="center"/>
    </xf>
    <xf numFmtId="0" fontId="0" fillId="0" borderId="3" xfId="0" applyFont="1" applyFill="1" applyBorder="1" applyAlignment="1">
      <alignment horizontal="center" vertical="center" wrapText="1"/>
    </xf>
    <xf numFmtId="9" fontId="112" fillId="0" borderId="131" xfId="6" applyNumberFormat="1" applyFont="1" applyFill="1" applyBorder="1" applyAlignment="1">
      <alignment horizontal="center" vertical="center" wrapText="1"/>
    </xf>
    <xf numFmtId="0" fontId="112" fillId="0" borderId="134" xfId="6" applyFont="1" applyFill="1" applyBorder="1" applyAlignment="1">
      <alignment horizontal="center" vertical="center" wrapText="1"/>
    </xf>
    <xf numFmtId="0" fontId="112" fillId="0" borderId="136" xfId="6" applyFont="1" applyFill="1" applyBorder="1" applyAlignment="1">
      <alignment horizontal="center" vertical="center" wrapText="1"/>
    </xf>
    <xf numFmtId="0" fontId="112" fillId="0" borderId="9" xfId="6" applyFont="1" applyFill="1" applyBorder="1" applyAlignment="1">
      <alignment horizontal="left" vertical="center" wrapText="1"/>
    </xf>
    <xf numFmtId="0" fontId="112" fillId="0" borderId="11" xfId="6" applyFont="1" applyFill="1" applyBorder="1" applyAlignment="1">
      <alignment horizontal="left" vertical="center" wrapText="1"/>
    </xf>
    <xf numFmtId="0" fontId="112" fillId="0" borderId="12" xfId="6" applyFont="1" applyFill="1" applyBorder="1" applyAlignment="1">
      <alignment horizontal="left" vertical="center" wrapText="1"/>
    </xf>
    <xf numFmtId="10" fontId="112" fillId="0" borderId="182" xfId="6" applyNumberFormat="1" applyFont="1" applyFill="1" applyBorder="1" applyAlignment="1">
      <alignment horizontal="center" vertical="center" wrapText="1"/>
    </xf>
    <xf numFmtId="0" fontId="112" fillId="0" borderId="236" xfId="6" applyFont="1" applyFill="1" applyBorder="1" applyAlignment="1">
      <alignment horizontal="center" vertical="center" wrapText="1"/>
    </xf>
    <xf numFmtId="0" fontId="112" fillId="0" borderId="237" xfId="6" applyFont="1" applyFill="1" applyBorder="1" applyAlignment="1">
      <alignment horizontal="center" vertical="center" wrapText="1"/>
    </xf>
    <xf numFmtId="49" fontId="112" fillId="0" borderId="131" xfId="6" applyNumberFormat="1" applyFont="1" applyFill="1" applyBorder="1" applyAlignment="1">
      <alignment horizontal="left" vertical="center" wrapText="1"/>
    </xf>
    <xf numFmtId="49" fontId="112" fillId="0" borderId="134" xfId="6" applyNumberFormat="1" applyFont="1" applyFill="1" applyBorder="1" applyAlignment="1">
      <alignment horizontal="left" vertical="center" wrapText="1"/>
    </xf>
    <xf numFmtId="49" fontId="112" fillId="0" borderId="136" xfId="6" applyNumberFormat="1" applyFont="1" applyFill="1" applyBorder="1" applyAlignment="1">
      <alignment horizontal="left" vertical="center" wrapText="1"/>
    </xf>
    <xf numFmtId="0" fontId="0" fillId="0" borderId="65"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13" xfId="0" applyFont="1" applyFill="1" applyBorder="1" applyAlignment="1">
      <alignment horizontal="center" vertical="center" wrapText="1"/>
    </xf>
    <xf numFmtId="49" fontId="112" fillId="0" borderId="238" xfId="6" applyNumberFormat="1" applyFont="1" applyFill="1" applyBorder="1" applyAlignment="1">
      <alignment horizontal="left" vertical="center" wrapText="1"/>
    </xf>
    <xf numFmtId="49" fontId="112" fillId="0" borderId="239" xfId="6" applyNumberFormat="1" applyFont="1" applyFill="1" applyBorder="1" applyAlignment="1">
      <alignment horizontal="left" vertical="center" wrapText="1"/>
    </xf>
    <xf numFmtId="49" fontId="112" fillId="0" borderId="240" xfId="6" applyNumberFormat="1" applyFont="1" applyFill="1" applyBorder="1" applyAlignment="1">
      <alignment horizontal="left" vertical="center" wrapText="1"/>
    </xf>
    <xf numFmtId="9" fontId="0" fillId="0" borderId="3" xfId="0" applyNumberFormat="1" applyFont="1" applyFill="1" applyBorder="1" applyAlignment="1">
      <alignment horizontal="center" vertical="center" wrapText="1"/>
    </xf>
    <xf numFmtId="0" fontId="0" fillId="0" borderId="9"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112" fillId="0" borderId="241" xfId="6" applyFont="1" applyFill="1" applyBorder="1" applyAlignment="1">
      <alignment horizontal="center" vertical="center" wrapText="1"/>
    </xf>
    <xf numFmtId="0" fontId="112" fillId="0" borderId="242" xfId="6" applyFont="1" applyFill="1" applyBorder="1" applyAlignment="1">
      <alignment horizontal="center" vertical="center" wrapText="1"/>
    </xf>
    <xf numFmtId="0" fontId="112" fillId="0" borderId="243" xfId="6" applyFont="1" applyFill="1" applyBorder="1" applyAlignment="1">
      <alignment horizontal="center" vertical="center" wrapText="1"/>
    </xf>
    <xf numFmtId="0" fontId="68" fillId="5" borderId="3" xfId="7" applyFont="1" applyBorder="1" applyAlignment="1">
      <alignment horizontal="center" vertical="center" wrapText="1"/>
    </xf>
    <xf numFmtId="0" fontId="0" fillId="0" borderId="9"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75" fillId="0" borderId="9" xfId="0" applyFont="1" applyFill="1" applyBorder="1" applyAlignment="1">
      <alignment horizontal="left" vertical="center" wrapText="1"/>
    </xf>
    <xf numFmtId="0" fontId="75" fillId="0" borderId="11" xfId="0" applyFont="1" applyFill="1" applyBorder="1" applyAlignment="1">
      <alignment horizontal="left" vertical="center" wrapText="1"/>
    </xf>
    <xf numFmtId="0" fontId="75" fillId="0" borderId="12"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9"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2" xfId="0" applyFont="1" applyFill="1" applyBorder="1" applyAlignment="1">
      <alignment horizontal="left" vertical="top" wrapText="1"/>
    </xf>
    <xf numFmtId="0" fontId="2" fillId="22" borderId="9" xfId="6" applyFont="1" applyFill="1" applyBorder="1" applyAlignment="1">
      <alignment horizontal="left" vertical="center" wrapText="1"/>
    </xf>
    <xf numFmtId="0" fontId="2" fillId="22" borderId="11" xfId="6" applyFont="1" applyFill="1" applyBorder="1" applyAlignment="1">
      <alignment horizontal="left" vertical="center" wrapText="1"/>
    </xf>
    <xf numFmtId="49" fontId="2" fillId="22" borderId="131" xfId="6" applyNumberFormat="1" applyFont="1" applyFill="1" applyBorder="1" applyAlignment="1">
      <alignment horizontal="left" vertical="center" wrapText="1"/>
    </xf>
    <xf numFmtId="49" fontId="2" fillId="22" borderId="134" xfId="6" applyNumberFormat="1" applyFont="1" applyFill="1" applyBorder="1" applyAlignment="1">
      <alignment horizontal="left" vertical="center" wrapText="1"/>
    </xf>
    <xf numFmtId="49" fontId="2" fillId="22" borderId="136" xfId="6" applyNumberFormat="1" applyFont="1" applyFill="1" applyBorder="1" applyAlignment="1">
      <alignment horizontal="left" vertical="center" wrapText="1"/>
    </xf>
    <xf numFmtId="0" fontId="0" fillId="22" borderId="9" xfId="0" applyFont="1" applyFill="1" applyBorder="1" applyAlignment="1">
      <alignment horizontal="left" vertical="top" wrapText="1"/>
    </xf>
    <xf numFmtId="0" fontId="0" fillId="22" borderId="11" xfId="0" applyFont="1" applyFill="1" applyBorder="1" applyAlignment="1">
      <alignment horizontal="left" vertical="top" wrapText="1"/>
    </xf>
    <xf numFmtId="0" fontId="0" fillId="22" borderId="12" xfId="0" applyFont="1" applyFill="1" applyBorder="1" applyAlignment="1">
      <alignment horizontal="left" vertical="top" wrapText="1"/>
    </xf>
    <xf numFmtId="0" fontId="110" fillId="5" borderId="229" xfId="7" applyFont="1" applyBorder="1" applyAlignment="1">
      <alignment horizontal="center" vertical="center"/>
    </xf>
    <xf numFmtId="0" fontId="110" fillId="5" borderId="229" xfId="7" applyFont="1" applyBorder="1" applyAlignment="1">
      <alignment horizontal="center" vertical="center" wrapText="1"/>
    </xf>
    <xf numFmtId="0" fontId="61" fillId="22" borderId="15" xfId="0" applyFont="1" applyFill="1" applyBorder="1" applyAlignment="1">
      <alignment horizontal="center" vertical="center" wrapText="1"/>
    </xf>
    <xf numFmtId="0" fontId="68" fillId="5" borderId="229" xfId="7" applyFont="1" applyBorder="1" applyAlignment="1">
      <alignment horizontal="center" vertical="center" wrapText="1"/>
    </xf>
    <xf numFmtId="0" fontId="112" fillId="23" borderId="3" xfId="0" applyFont="1" applyFill="1" applyBorder="1" applyAlignment="1">
      <alignment horizontal="center" vertical="center" wrapText="1"/>
    </xf>
    <xf numFmtId="0" fontId="112" fillId="0" borderId="9" xfId="0" applyFont="1" applyFill="1" applyBorder="1" applyAlignment="1">
      <alignment horizontal="center" vertical="center" wrapText="1"/>
    </xf>
    <xf numFmtId="0" fontId="112" fillId="0" borderId="11" xfId="0" applyFont="1" applyFill="1" applyBorder="1" applyAlignment="1">
      <alignment horizontal="center" vertical="center" wrapText="1"/>
    </xf>
    <xf numFmtId="0" fontId="112" fillId="0" borderId="12" xfId="0" applyFont="1" applyFill="1" applyBorder="1" applyAlignment="1">
      <alignment horizontal="center" vertical="center" wrapText="1"/>
    </xf>
    <xf numFmtId="9" fontId="0" fillId="0" borderId="9" xfId="0" applyNumberFormat="1" applyFont="1" applyBorder="1" applyAlignment="1">
      <alignment horizontal="center" vertical="center" wrapText="1"/>
    </xf>
    <xf numFmtId="9" fontId="0" fillId="0" borderId="3" xfId="0" applyNumberFormat="1" applyFont="1" applyBorder="1" applyAlignment="1">
      <alignment horizontal="center" vertical="center" wrapText="1"/>
    </xf>
    <xf numFmtId="0" fontId="0" fillId="22" borderId="65" xfId="0" applyFont="1" applyFill="1" applyBorder="1" applyAlignment="1">
      <alignment horizontal="center" vertical="center" wrapText="1"/>
    </xf>
    <xf numFmtId="0" fontId="0" fillId="22" borderId="22" xfId="0" applyFont="1" applyFill="1" applyBorder="1" applyAlignment="1">
      <alignment horizontal="center" vertical="center" wrapText="1"/>
    </xf>
    <xf numFmtId="0" fontId="0" fillId="22" borderId="13" xfId="0" applyFont="1" applyFill="1" applyBorder="1" applyAlignment="1">
      <alignment horizontal="center" vertical="center" wrapText="1"/>
    </xf>
    <xf numFmtId="0" fontId="0" fillId="0" borderId="9" xfId="0" applyFont="1" applyBorder="1" applyAlignment="1">
      <alignment horizontal="left" vertical="center" wrapText="1"/>
    </xf>
    <xf numFmtId="0" fontId="0" fillId="0" borderId="12" xfId="0" applyFont="1" applyBorder="1" applyAlignment="1">
      <alignment horizontal="left" vertical="center" wrapText="1"/>
    </xf>
    <xf numFmtId="9" fontId="56" fillId="22" borderId="9" xfId="28" applyFont="1" applyFill="1" applyBorder="1" applyAlignment="1">
      <alignment horizontal="center" vertical="center"/>
    </xf>
    <xf numFmtId="9" fontId="56" fillId="22" borderId="12" xfId="28" applyFont="1" applyFill="1" applyBorder="1" applyAlignment="1">
      <alignment horizontal="center" vertical="center"/>
    </xf>
    <xf numFmtId="9" fontId="56" fillId="22" borderId="11" xfId="28" applyFont="1" applyFill="1" applyBorder="1" applyAlignment="1">
      <alignment horizontal="center" vertical="center"/>
    </xf>
    <xf numFmtId="0" fontId="68" fillId="5" borderId="65" xfId="7" applyFont="1" applyBorder="1" applyAlignment="1">
      <alignment horizontal="center" vertical="center"/>
    </xf>
    <xf numFmtId="0" fontId="68" fillId="5" borderId="10" xfId="7" applyFont="1" applyBorder="1" applyAlignment="1">
      <alignment horizontal="center" vertical="center"/>
    </xf>
    <xf numFmtId="0" fontId="68" fillId="5" borderId="35" xfId="7" applyFont="1" applyBorder="1" applyAlignment="1">
      <alignment horizontal="center" vertical="center"/>
    </xf>
    <xf numFmtId="0" fontId="68" fillId="5" borderId="13" xfId="7" applyFont="1" applyBorder="1" applyAlignment="1">
      <alignment horizontal="center" vertical="center"/>
    </xf>
    <xf numFmtId="0" fontId="68" fillId="5" borderId="14" xfId="7" applyFont="1" applyBorder="1" applyAlignment="1">
      <alignment horizontal="center" vertical="center"/>
    </xf>
    <xf numFmtId="0" fontId="68" fillId="5" borderId="19" xfId="7" applyFont="1" applyBorder="1" applyAlignment="1">
      <alignment horizontal="center" vertical="center"/>
    </xf>
    <xf numFmtId="0" fontId="68" fillId="39" borderId="22" xfId="7" applyFont="1" applyFill="1" applyBorder="1" applyAlignment="1">
      <alignment horizontal="center" vertical="center" wrapText="1"/>
    </xf>
    <xf numFmtId="0" fontId="68" fillId="39" borderId="0" xfId="7" applyFont="1" applyFill="1" applyBorder="1" applyAlignment="1">
      <alignment horizontal="center" vertical="center" wrapText="1"/>
    </xf>
    <xf numFmtId="9" fontId="56" fillId="0" borderId="9" xfId="28" applyFont="1" applyBorder="1" applyAlignment="1">
      <alignment horizontal="center" vertical="center"/>
    </xf>
    <xf numFmtId="9" fontId="56" fillId="0" borderId="12" xfId="28" applyFont="1" applyBorder="1" applyAlignment="1">
      <alignment horizontal="center" vertical="center"/>
    </xf>
    <xf numFmtId="1" fontId="112" fillId="22" borderId="12" xfId="0" applyNumberFormat="1" applyFont="1" applyFill="1" applyBorder="1" applyAlignment="1">
      <alignment horizontal="center" vertical="center" wrapText="1"/>
    </xf>
    <xf numFmtId="0" fontId="68" fillId="5" borderId="65" xfId="7" applyFont="1" applyBorder="1" applyAlignment="1">
      <alignment horizontal="center" vertical="center" wrapText="1"/>
    </xf>
    <xf numFmtId="0" fontId="68" fillId="5" borderId="10" xfId="7" applyFont="1" applyBorder="1" applyAlignment="1">
      <alignment horizontal="center" vertical="center" wrapText="1"/>
    </xf>
    <xf numFmtId="0" fontId="68" fillId="5" borderId="35" xfId="7" applyFont="1" applyBorder="1" applyAlignment="1">
      <alignment horizontal="center" vertical="center" wrapText="1"/>
    </xf>
    <xf numFmtId="1" fontId="112" fillId="22" borderId="9" xfId="0" applyNumberFormat="1" applyFont="1" applyFill="1" applyBorder="1" applyAlignment="1">
      <alignment horizontal="center" vertical="center" wrapText="1"/>
    </xf>
    <xf numFmtId="0" fontId="0" fillId="22" borderId="9" xfId="0" applyFont="1" applyFill="1" applyBorder="1" applyAlignment="1">
      <alignment horizontal="center" vertical="center" wrapText="1"/>
    </xf>
    <xf numFmtId="1" fontId="112" fillId="0" borderId="3" xfId="0" applyNumberFormat="1" applyFont="1" applyFill="1" applyBorder="1" applyAlignment="1">
      <alignment horizontal="left" vertical="center" wrapText="1"/>
    </xf>
    <xf numFmtId="0" fontId="0" fillId="0" borderId="9"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9" fontId="0" fillId="22" borderId="3" xfId="0" applyNumberFormat="1" applyFont="1" applyFill="1" applyBorder="1" applyAlignment="1">
      <alignment horizontal="center" vertical="center"/>
    </xf>
    <xf numFmtId="0" fontId="0" fillId="22" borderId="3" xfId="0" applyFont="1" applyFill="1" applyBorder="1" applyAlignment="1">
      <alignment horizontal="center" vertical="center"/>
    </xf>
    <xf numFmtId="9" fontId="0" fillId="22" borderId="182" xfId="0" applyNumberFormat="1" applyFont="1" applyFill="1" applyBorder="1" applyAlignment="1">
      <alignment horizontal="center" vertical="center"/>
    </xf>
    <xf numFmtId="0" fontId="0" fillId="22" borderId="236" xfId="0" applyFont="1" applyFill="1" applyBorder="1" applyAlignment="1">
      <alignment horizontal="center" vertical="center"/>
    </xf>
    <xf numFmtId="0" fontId="0" fillId="22" borderId="237" xfId="0" applyFont="1" applyFill="1" applyBorder="1" applyAlignment="1">
      <alignment horizontal="center" vertical="center"/>
    </xf>
    <xf numFmtId="9" fontId="0" fillId="22" borderId="9" xfId="0" applyNumberFormat="1" applyFont="1" applyFill="1" applyBorder="1" applyAlignment="1">
      <alignment horizontal="center" vertical="center"/>
    </xf>
    <xf numFmtId="0" fontId="0" fillId="22" borderId="11" xfId="0" applyFont="1" applyFill="1" applyBorder="1" applyAlignment="1">
      <alignment horizontal="center" vertical="center"/>
    </xf>
    <xf numFmtId="0" fontId="0" fillId="22" borderId="12" xfId="0" applyFont="1" applyFill="1" applyBorder="1" applyAlignment="1">
      <alignment horizontal="center" vertical="center"/>
    </xf>
    <xf numFmtId="1" fontId="112" fillId="0" borderId="3" xfId="0" applyNumberFormat="1" applyFont="1" applyFill="1" applyBorder="1" applyAlignment="1">
      <alignment horizontal="center" vertical="center" wrapText="1"/>
    </xf>
    <xf numFmtId="1" fontId="112" fillId="0" borderId="9" xfId="0" applyNumberFormat="1" applyFont="1" applyFill="1" applyBorder="1" applyAlignment="1">
      <alignment horizontal="center" vertical="center" wrapText="1"/>
    </xf>
    <xf numFmtId="1" fontId="112" fillId="0" borderId="12" xfId="0" applyNumberFormat="1" applyFont="1" applyFill="1" applyBorder="1" applyAlignment="1">
      <alignment horizontal="center" vertical="center" wrapText="1"/>
    </xf>
    <xf numFmtId="9" fontId="0" fillId="0" borderId="244" xfId="0" applyNumberFormat="1" applyFont="1" applyBorder="1" applyAlignment="1">
      <alignment horizontal="center" vertical="center"/>
    </xf>
    <xf numFmtId="0" fontId="0" fillId="0" borderId="245" xfId="0" applyFont="1" applyBorder="1" applyAlignment="1">
      <alignment horizontal="center" vertical="center"/>
    </xf>
    <xf numFmtId="0" fontId="0" fillId="0" borderId="246" xfId="0" applyFont="1" applyBorder="1" applyAlignment="1">
      <alignment horizontal="center" vertical="center"/>
    </xf>
    <xf numFmtId="9"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14" xfId="0" applyFont="1" applyBorder="1" applyAlignment="1">
      <alignment horizontal="center" vertical="center" wrapText="1"/>
    </xf>
    <xf numFmtId="9" fontId="56" fillId="0" borderId="244" xfId="28" applyFont="1" applyBorder="1" applyAlignment="1">
      <alignment horizontal="center" vertical="center"/>
    </xf>
    <xf numFmtId="9" fontId="56" fillId="0" borderId="245" xfId="28" applyFont="1" applyBorder="1" applyAlignment="1">
      <alignment horizontal="center" vertical="center"/>
    </xf>
    <xf numFmtId="9" fontId="56" fillId="0" borderId="246" xfId="28" applyFont="1" applyBorder="1" applyAlignment="1">
      <alignment horizontal="center" vertical="center"/>
    </xf>
    <xf numFmtId="9" fontId="56" fillId="0" borderId="11" xfId="28" applyFont="1" applyBorder="1" applyAlignment="1">
      <alignment horizontal="center" vertical="center"/>
    </xf>
    <xf numFmtId="0" fontId="68" fillId="39" borderId="0" xfId="0" applyFont="1" applyFill="1" applyAlignment="1">
      <alignment horizontal="center" vertical="center"/>
    </xf>
    <xf numFmtId="0" fontId="68" fillId="39" borderId="234" xfId="0" applyFont="1" applyFill="1" applyBorder="1" applyAlignment="1">
      <alignment horizontal="center" vertical="center"/>
    </xf>
    <xf numFmtId="0" fontId="0" fillId="0" borderId="11" xfId="0" applyFont="1" applyBorder="1" applyAlignment="1">
      <alignment horizontal="left" vertical="center" wrapText="1"/>
    </xf>
    <xf numFmtId="0" fontId="115" fillId="22" borderId="9" xfId="0" applyFont="1" applyFill="1" applyBorder="1" applyAlignment="1">
      <alignment horizontal="left" vertical="center" wrapText="1"/>
    </xf>
    <xf numFmtId="0" fontId="115" fillId="22" borderId="11" xfId="0" applyFont="1" applyFill="1" applyBorder="1" applyAlignment="1">
      <alignment horizontal="left" vertical="center" wrapText="1"/>
    </xf>
    <xf numFmtId="0" fontId="115" fillId="22" borderId="12" xfId="0" applyFont="1" applyFill="1" applyBorder="1" applyAlignment="1">
      <alignment horizontal="left" vertical="center" wrapText="1"/>
    </xf>
    <xf numFmtId="9" fontId="0" fillId="0" borderId="9" xfId="0" applyNumberFormat="1" applyFont="1" applyBorder="1" applyAlignment="1">
      <alignment horizontal="center" vertical="center"/>
    </xf>
    <xf numFmtId="9" fontId="0" fillId="0" borderId="11" xfId="0" applyNumberFormat="1" applyFont="1" applyBorder="1" applyAlignment="1">
      <alignment horizontal="center" vertical="center"/>
    </xf>
    <xf numFmtId="9" fontId="0" fillId="0" borderId="12" xfId="0" applyNumberFormat="1" applyFont="1" applyBorder="1" applyAlignment="1">
      <alignment horizontal="center" vertical="center"/>
    </xf>
    <xf numFmtId="9" fontId="0" fillId="0" borderId="11" xfId="0" applyNumberFormat="1" applyFont="1" applyBorder="1" applyAlignment="1">
      <alignment horizontal="center" vertical="center" wrapText="1"/>
    </xf>
    <xf numFmtId="9" fontId="0" fillId="0" borderId="12" xfId="0" applyNumberFormat="1" applyFont="1" applyBorder="1" applyAlignment="1">
      <alignment horizontal="center" vertical="center" wrapText="1"/>
    </xf>
    <xf numFmtId="0" fontId="112" fillId="28" borderId="3" xfId="0" applyFont="1" applyFill="1" applyBorder="1" applyAlignment="1">
      <alignment horizontal="center" vertical="center" wrapText="1"/>
    </xf>
    <xf numFmtId="9" fontId="112" fillId="28" borderId="3" xfId="0" applyNumberFormat="1" applyFont="1" applyFill="1" applyBorder="1" applyAlignment="1">
      <alignment horizontal="center" vertical="center" wrapText="1"/>
    </xf>
    <xf numFmtId="0" fontId="112" fillId="28" borderId="3" xfId="0" applyFont="1" applyFill="1" applyBorder="1" applyAlignment="1">
      <alignment horizontal="center" vertical="center" wrapText="1" readingOrder="1"/>
    </xf>
    <xf numFmtId="0" fontId="0" fillId="22" borderId="166" xfId="0" applyFont="1" applyFill="1" applyBorder="1" applyAlignment="1">
      <alignment horizontal="center" vertical="center"/>
    </xf>
    <xf numFmtId="0" fontId="0" fillId="22" borderId="173" xfId="0" applyFont="1" applyFill="1" applyBorder="1" applyAlignment="1">
      <alignment horizontal="center" vertical="center"/>
    </xf>
    <xf numFmtId="0" fontId="0" fillId="22" borderId="167" xfId="0" applyFont="1" applyFill="1" applyBorder="1" applyAlignment="1">
      <alignment horizontal="center" vertical="center"/>
    </xf>
    <xf numFmtId="0" fontId="112" fillId="0" borderId="3" xfId="0" applyFont="1" applyFill="1" applyBorder="1" applyAlignment="1">
      <alignment horizontal="center" vertical="center" wrapText="1" readingOrder="1"/>
    </xf>
    <xf numFmtId="1" fontId="112" fillId="28" borderId="3" xfId="0" applyNumberFormat="1" applyFont="1" applyFill="1" applyBorder="1" applyAlignment="1">
      <alignment horizontal="center" vertical="center" wrapText="1"/>
    </xf>
    <xf numFmtId="0" fontId="112" fillId="22" borderId="3" xfId="6" applyFont="1" applyFill="1" applyBorder="1" applyAlignment="1">
      <alignment horizontal="center" vertical="center" wrapText="1"/>
    </xf>
    <xf numFmtId="0" fontId="112" fillId="23" borderId="3" xfId="6" applyFont="1" applyFill="1" applyBorder="1" applyAlignment="1">
      <alignment horizontal="center" vertical="center" wrapText="1"/>
    </xf>
    <xf numFmtId="9" fontId="112" fillId="22" borderId="3" xfId="6" applyNumberFormat="1" applyFont="1" applyFill="1" applyBorder="1" applyAlignment="1">
      <alignment horizontal="center" vertical="center" wrapText="1"/>
    </xf>
    <xf numFmtId="0" fontId="68" fillId="5" borderId="0" xfId="7" applyFont="1" applyBorder="1" applyAlignment="1">
      <alignment horizontal="center" vertical="center"/>
    </xf>
    <xf numFmtId="0" fontId="68" fillId="5" borderId="230" xfId="7" applyFont="1" applyBorder="1" applyAlignment="1">
      <alignment horizontal="center" vertical="center"/>
    </xf>
    <xf numFmtId="9" fontId="112" fillId="0" borderId="3" xfId="28" applyFont="1" applyBorder="1" applyAlignment="1">
      <alignment horizontal="center" vertical="center" wrapText="1"/>
    </xf>
    <xf numFmtId="0" fontId="112" fillId="0" borderId="3" xfId="0" applyFont="1" applyBorder="1" applyAlignment="1">
      <alignment horizontal="left" wrapText="1"/>
    </xf>
    <xf numFmtId="0" fontId="112" fillId="0" borderId="3" xfId="0" applyFont="1" applyBorder="1" applyAlignment="1">
      <alignment horizontal="left"/>
    </xf>
    <xf numFmtId="9" fontId="112" fillId="0" borderId="3" xfId="0" applyNumberFormat="1" applyFont="1" applyBorder="1" applyAlignment="1">
      <alignment horizontal="center" vertical="center"/>
    </xf>
    <xf numFmtId="0" fontId="112" fillId="0" borderId="3" xfId="0" applyFont="1" applyBorder="1" applyAlignment="1">
      <alignment horizontal="center" vertical="center"/>
    </xf>
    <xf numFmtId="0" fontId="59" fillId="5" borderId="0" xfId="7" applyFont="1" applyAlignment="1">
      <alignment horizontal="center" vertical="center"/>
    </xf>
    <xf numFmtId="10" fontId="56" fillId="35" borderId="121" xfId="10" applyNumberFormat="1" applyFont="1" applyFill="1" applyBorder="1" applyAlignment="1">
      <alignment horizontal="center" vertical="center"/>
    </xf>
    <xf numFmtId="10" fontId="56" fillId="35" borderId="125" xfId="10" applyNumberFormat="1" applyFont="1" applyFill="1" applyBorder="1" applyAlignment="1">
      <alignment horizontal="center" vertical="center"/>
    </xf>
    <xf numFmtId="10" fontId="56" fillId="35" borderId="109" xfId="28" applyNumberFormat="1" applyFont="1" applyFill="1" applyBorder="1" applyAlignment="1">
      <alignment horizontal="center" vertical="center"/>
    </xf>
    <xf numFmtId="10" fontId="56" fillId="35" borderId="121" xfId="28" applyNumberFormat="1" applyFont="1" applyFill="1" applyBorder="1" applyAlignment="1">
      <alignment horizontal="center" vertical="center"/>
    </xf>
    <xf numFmtId="10" fontId="56" fillId="35" borderId="122" xfId="10" applyNumberFormat="1" applyFont="1" applyFill="1" applyBorder="1" applyAlignment="1">
      <alignment horizontal="center" vertical="center"/>
    </xf>
    <xf numFmtId="10" fontId="56" fillId="35" borderId="126" xfId="10" applyNumberFormat="1" applyFont="1" applyFill="1" applyBorder="1" applyAlignment="1">
      <alignment horizontal="center" vertical="center"/>
    </xf>
    <xf numFmtId="0" fontId="68" fillId="40" borderId="247" xfId="0" applyFont="1" applyFill="1" applyBorder="1" applyAlignment="1">
      <alignment horizontal="center" vertical="center" wrapText="1"/>
    </xf>
    <xf numFmtId="0" fontId="68" fillId="40" borderId="0" xfId="0" applyFont="1" applyFill="1" applyBorder="1" applyAlignment="1">
      <alignment horizontal="center" vertical="center"/>
    </xf>
    <xf numFmtId="0" fontId="68" fillId="0" borderId="0" xfId="0" applyFont="1" applyFill="1" applyBorder="1" applyAlignment="1">
      <alignment horizontal="center"/>
    </xf>
    <xf numFmtId="0" fontId="0" fillId="0" borderId="6" xfId="0" applyFont="1" applyFill="1" applyBorder="1" applyAlignment="1">
      <alignment horizontal="left" vertical="center" wrapText="1"/>
    </xf>
    <xf numFmtId="0" fontId="0" fillId="0" borderId="8" xfId="0" applyFont="1" applyFill="1" applyBorder="1" applyAlignment="1">
      <alignment horizontal="left" vertical="center" wrapText="1"/>
    </xf>
    <xf numFmtId="10" fontId="56" fillId="35" borderId="118" xfId="28" applyNumberFormat="1" applyFont="1" applyFill="1" applyBorder="1" applyAlignment="1">
      <alignment horizontal="center" vertical="center"/>
    </xf>
    <xf numFmtId="10" fontId="56" fillId="35" borderId="122" xfId="28" applyNumberFormat="1" applyFont="1" applyFill="1" applyBorder="1" applyAlignment="1">
      <alignment horizontal="center" vertical="center"/>
    </xf>
    <xf numFmtId="0" fontId="59" fillId="5" borderId="65" xfId="7" applyFont="1" applyBorder="1" applyAlignment="1">
      <alignment horizontal="center" vertical="center" wrapText="1"/>
    </xf>
    <xf numFmtId="0" fontId="59" fillId="5" borderId="10" xfId="7" applyFont="1" applyBorder="1" applyAlignment="1">
      <alignment horizontal="center" vertical="center" wrapText="1"/>
    </xf>
    <xf numFmtId="0" fontId="59" fillId="5" borderId="35" xfId="7" applyFont="1" applyBorder="1" applyAlignment="1">
      <alignment horizontal="center" vertical="center" wrapText="1"/>
    </xf>
    <xf numFmtId="0" fontId="0" fillId="0" borderId="9" xfId="0" applyFont="1" applyFill="1" applyBorder="1" applyAlignment="1">
      <alignment horizontal="left" wrapText="1"/>
    </xf>
    <xf numFmtId="0" fontId="0" fillId="0" borderId="12" xfId="0" applyFont="1" applyFill="1" applyBorder="1" applyAlignment="1">
      <alignment horizontal="left" wrapText="1"/>
    </xf>
    <xf numFmtId="0" fontId="0" fillId="0" borderId="3" xfId="0" applyFont="1" applyFill="1" applyBorder="1" applyAlignment="1">
      <alignment horizontal="left" vertical="center" wrapText="1"/>
    </xf>
    <xf numFmtId="10" fontId="56" fillId="35" borderId="150" xfId="10" applyNumberFormat="1" applyFont="1" applyFill="1" applyBorder="1" applyAlignment="1">
      <alignment horizontal="center" vertical="center"/>
    </xf>
    <xf numFmtId="10" fontId="56" fillId="35" borderId="161" xfId="10" applyNumberFormat="1" applyFont="1" applyFill="1" applyBorder="1" applyAlignment="1">
      <alignment horizontal="center" vertical="center"/>
    </xf>
    <xf numFmtId="0" fontId="73" fillId="0" borderId="0" xfId="0" applyFont="1" applyFill="1" applyAlignment="1">
      <alignment horizontal="left" vertical="center" wrapText="1"/>
    </xf>
    <xf numFmtId="0" fontId="59" fillId="5" borderId="0" xfId="7" applyAlignment="1">
      <alignment horizontal="center"/>
    </xf>
    <xf numFmtId="10" fontId="56" fillId="35" borderId="160" xfId="28" applyNumberFormat="1" applyFont="1" applyFill="1" applyBorder="1" applyAlignment="1">
      <alignment horizontal="center" vertical="center"/>
    </xf>
    <xf numFmtId="10" fontId="56" fillId="35" borderId="150" xfId="28" applyNumberFormat="1" applyFont="1" applyFill="1" applyBorder="1" applyAlignment="1">
      <alignment horizontal="center" vertical="center"/>
    </xf>
    <xf numFmtId="9" fontId="56" fillId="22" borderId="165" xfId="28" applyFont="1" applyFill="1" applyBorder="1" applyAlignment="1">
      <alignment horizontal="center" vertical="center" wrapText="1"/>
    </xf>
    <xf numFmtId="9" fontId="56" fillId="22" borderId="254" xfId="28" applyFont="1" applyFill="1" applyBorder="1" applyAlignment="1">
      <alignment horizontal="center" vertical="center" wrapText="1"/>
    </xf>
    <xf numFmtId="9" fontId="56" fillId="22" borderId="144" xfId="28" applyFont="1" applyFill="1" applyBorder="1" applyAlignment="1">
      <alignment horizontal="center" vertical="center" wrapText="1"/>
    </xf>
    <xf numFmtId="0" fontId="117" fillId="39" borderId="230" xfId="7" applyFont="1" applyFill="1" applyBorder="1" applyAlignment="1">
      <alignment horizontal="center" vertical="center" wrapText="1"/>
    </xf>
    <xf numFmtId="0" fontId="117" fillId="39" borderId="0" xfId="7" applyFont="1" applyFill="1" applyAlignment="1">
      <alignment horizontal="center" vertical="center" wrapText="1"/>
    </xf>
    <xf numFmtId="0" fontId="0" fillId="22" borderId="255" xfId="0" applyFont="1" applyFill="1" applyBorder="1" applyAlignment="1">
      <alignment horizontal="center" vertical="center" wrapText="1"/>
    </xf>
    <xf numFmtId="0" fontId="0" fillId="22" borderId="256" xfId="0" applyFont="1" applyFill="1" applyBorder="1" applyAlignment="1">
      <alignment horizontal="center" vertical="center"/>
    </xf>
    <xf numFmtId="0" fontId="0" fillId="22" borderId="115" xfId="0" applyFont="1" applyFill="1" applyBorder="1" applyAlignment="1">
      <alignment horizontal="center" vertical="center"/>
    </xf>
    <xf numFmtId="9" fontId="99" fillId="22" borderId="165" xfId="28" applyFont="1" applyFill="1" applyBorder="1" applyAlignment="1">
      <alignment horizontal="center" vertical="center" wrapText="1"/>
    </xf>
    <xf numFmtId="9" fontId="99" fillId="22" borderId="254" xfId="28" applyFont="1" applyFill="1" applyBorder="1" applyAlignment="1">
      <alignment horizontal="center" vertical="center" wrapText="1"/>
    </xf>
    <xf numFmtId="9" fontId="99" fillId="22" borderId="144" xfId="28" applyFont="1" applyFill="1" applyBorder="1" applyAlignment="1">
      <alignment horizontal="center" vertical="center" wrapText="1"/>
    </xf>
    <xf numFmtId="0" fontId="99" fillId="22" borderId="255" xfId="0" applyFont="1" applyFill="1" applyBorder="1" applyAlignment="1">
      <alignment horizontal="center" vertical="center" wrapText="1"/>
    </xf>
    <xf numFmtId="0" fontId="99" fillId="22" borderId="256" xfId="0" applyFont="1" applyFill="1" applyBorder="1" applyAlignment="1">
      <alignment horizontal="center" vertical="center"/>
    </xf>
    <xf numFmtId="0" fontId="99" fillId="22" borderId="115" xfId="0" applyFont="1" applyFill="1" applyBorder="1" applyAlignment="1">
      <alignment horizontal="center" vertical="center"/>
    </xf>
    <xf numFmtId="9" fontId="99" fillId="22" borderId="261" xfId="28" applyFont="1" applyFill="1" applyBorder="1" applyAlignment="1">
      <alignment horizontal="center" vertical="center" wrapText="1"/>
    </xf>
    <xf numFmtId="9" fontId="99" fillId="22" borderId="262" xfId="28" applyFont="1" applyFill="1" applyBorder="1" applyAlignment="1">
      <alignment horizontal="center" vertical="center" wrapText="1"/>
    </xf>
    <xf numFmtId="9" fontId="99" fillId="22" borderId="178" xfId="28" applyFont="1" applyFill="1" applyBorder="1" applyAlignment="1">
      <alignment horizontal="center" vertical="center" wrapText="1"/>
    </xf>
    <xf numFmtId="0" fontId="0" fillId="0" borderId="251" xfId="0" applyFont="1" applyBorder="1" applyAlignment="1">
      <alignment horizontal="center" vertical="center" wrapText="1"/>
    </xf>
    <xf numFmtId="0" fontId="0" fillId="0" borderId="252" xfId="0" applyFont="1" applyBorder="1" applyAlignment="1">
      <alignment horizontal="center" vertical="center" wrapText="1"/>
    </xf>
    <xf numFmtId="0" fontId="0" fillId="0" borderId="253" xfId="0" applyFont="1" applyBorder="1" applyAlignment="1">
      <alignment horizontal="center" vertical="center" wrapText="1"/>
    </xf>
    <xf numFmtId="0" fontId="73" fillId="22" borderId="257" xfId="0" applyFont="1" applyFill="1" applyBorder="1" applyAlignment="1">
      <alignment horizontal="center" vertical="center" wrapText="1"/>
    </xf>
    <xf numFmtId="0" fontId="73" fillId="22" borderId="260" xfId="0" applyFont="1" applyFill="1" applyBorder="1" applyAlignment="1">
      <alignment horizontal="center" vertical="center" wrapText="1"/>
    </xf>
    <xf numFmtId="0" fontId="73" fillId="22" borderId="259" xfId="0" applyFont="1" applyFill="1" applyBorder="1" applyAlignment="1">
      <alignment horizontal="center" vertical="top" wrapText="1"/>
    </xf>
    <xf numFmtId="0" fontId="73" fillId="22" borderId="260" xfId="0" applyFont="1" applyFill="1" applyBorder="1" applyAlignment="1">
      <alignment horizontal="center" vertical="top" wrapText="1"/>
    </xf>
    <xf numFmtId="0" fontId="73" fillId="22" borderId="258" xfId="0" applyFont="1" applyFill="1" applyBorder="1" applyAlignment="1">
      <alignment horizontal="center" vertical="top" wrapText="1"/>
    </xf>
    <xf numFmtId="0" fontId="99" fillId="22" borderId="256" xfId="0" applyFont="1" applyFill="1" applyBorder="1" applyAlignment="1">
      <alignment horizontal="center" vertical="center" wrapText="1"/>
    </xf>
    <xf numFmtId="0" fontId="99" fillId="22" borderId="115" xfId="0" applyFont="1" applyFill="1" applyBorder="1" applyAlignment="1">
      <alignment horizontal="center" vertical="center" wrapText="1"/>
    </xf>
    <xf numFmtId="0" fontId="73" fillId="22" borderId="258" xfId="0" applyFont="1" applyFill="1" applyBorder="1" applyAlignment="1">
      <alignment horizontal="center" vertical="center" wrapText="1"/>
    </xf>
    <xf numFmtId="9" fontId="99" fillId="22" borderId="248" xfId="28" applyFont="1" applyFill="1" applyBorder="1" applyAlignment="1">
      <alignment horizontal="center" vertical="center" wrapText="1"/>
    </xf>
    <xf numFmtId="9" fontId="99" fillId="22" borderId="249" xfId="28" applyFont="1" applyFill="1" applyBorder="1" applyAlignment="1">
      <alignment horizontal="center" vertical="center" wrapText="1"/>
    </xf>
    <xf numFmtId="9" fontId="99" fillId="22" borderId="250" xfId="28" applyFont="1" applyFill="1" applyBorder="1" applyAlignment="1">
      <alignment horizontal="center" vertical="center" wrapText="1"/>
    </xf>
    <xf numFmtId="0" fontId="99" fillId="22" borderId="9" xfId="0" applyFont="1" applyFill="1" applyBorder="1" applyAlignment="1">
      <alignment horizontal="center" vertical="center" wrapText="1"/>
    </xf>
    <xf numFmtId="0" fontId="99" fillId="22" borderId="11" xfId="0" applyFont="1" applyFill="1" applyBorder="1" applyAlignment="1">
      <alignment horizontal="center" vertical="center" wrapText="1"/>
    </xf>
    <xf numFmtId="0" fontId="99" fillId="22" borderId="12" xfId="0" applyFont="1" applyFill="1" applyBorder="1" applyAlignment="1">
      <alignment horizontal="center" vertical="center" wrapText="1"/>
    </xf>
    <xf numFmtId="0" fontId="68" fillId="5" borderId="0" xfId="7" applyFont="1" applyAlignment="1">
      <alignment horizontal="center" vertical="center"/>
    </xf>
    <xf numFmtId="0" fontId="68" fillId="8" borderId="87" xfId="6" applyFont="1" applyBorder="1" applyAlignment="1">
      <alignment horizontal="center" vertical="center" wrapText="1"/>
    </xf>
    <xf numFmtId="0" fontId="68" fillId="8" borderId="0" xfId="6" applyFont="1" applyBorder="1" applyAlignment="1">
      <alignment horizontal="center" vertical="center" wrapText="1"/>
    </xf>
    <xf numFmtId="0" fontId="0" fillId="34" borderId="9"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112" fillId="34" borderId="9" xfId="0" applyFont="1" applyFill="1" applyBorder="1" applyAlignment="1">
      <alignment horizontal="center" vertical="center" wrapText="1"/>
    </xf>
    <xf numFmtId="0" fontId="112" fillId="34" borderId="11" xfId="0" applyFont="1" applyFill="1" applyBorder="1" applyAlignment="1">
      <alignment horizontal="center" vertical="center" wrapText="1"/>
    </xf>
    <xf numFmtId="9" fontId="112" fillId="34" borderId="9" xfId="0" applyNumberFormat="1" applyFont="1" applyFill="1" applyBorder="1" applyAlignment="1">
      <alignment horizontal="center" vertical="center" wrapText="1"/>
    </xf>
    <xf numFmtId="9" fontId="112" fillId="34" borderId="11" xfId="0" applyNumberFormat="1" applyFont="1" applyFill="1" applyBorder="1" applyAlignment="1">
      <alignment horizontal="center" vertical="center" wrapText="1"/>
    </xf>
    <xf numFmtId="0" fontId="0" fillId="34" borderId="60" xfId="0" applyFont="1" applyFill="1" applyBorder="1" applyAlignment="1">
      <alignment horizontal="center" vertical="center" wrapText="1"/>
    </xf>
    <xf numFmtId="0" fontId="0" fillId="34" borderId="92" xfId="0" applyFont="1" applyFill="1" applyBorder="1" applyAlignment="1">
      <alignment horizontal="center" vertical="center" wrapText="1"/>
    </xf>
    <xf numFmtId="0" fontId="0" fillId="34" borderId="93" xfId="0" applyFont="1" applyFill="1" applyBorder="1" applyAlignment="1">
      <alignment horizontal="left" vertical="center" wrapText="1"/>
    </xf>
    <xf numFmtId="0" fontId="0" fillId="34" borderId="94" xfId="0" applyFont="1" applyFill="1" applyBorder="1" applyAlignment="1">
      <alignment horizontal="left" vertical="center" wrapText="1"/>
    </xf>
    <xf numFmtId="0" fontId="0" fillId="34" borderId="95" xfId="0" applyFont="1" applyFill="1" applyBorder="1" applyAlignment="1">
      <alignment horizontal="left" vertical="center" wrapText="1"/>
    </xf>
    <xf numFmtId="10" fontId="0" fillId="22" borderId="3" xfId="0" applyNumberFormat="1" applyFont="1" applyFill="1" applyBorder="1" applyAlignment="1">
      <alignment horizontal="center" vertical="center"/>
    </xf>
    <xf numFmtId="0" fontId="0" fillId="34" borderId="3" xfId="0" applyFont="1" applyFill="1" applyBorder="1" applyAlignment="1">
      <alignment horizontal="center" vertical="center" wrapText="1"/>
    </xf>
    <xf numFmtId="0" fontId="0" fillId="22" borderId="9" xfId="0" applyFont="1" applyFill="1" applyBorder="1" applyAlignment="1">
      <alignment horizontal="center" vertical="center"/>
    </xf>
    <xf numFmtId="0" fontId="0" fillId="37" borderId="3" xfId="0" applyFont="1" applyFill="1" applyBorder="1" applyAlignment="1">
      <alignment horizontal="center" vertical="center" wrapText="1"/>
    </xf>
    <xf numFmtId="0" fontId="68" fillId="5" borderId="263" xfId="7" applyFont="1" applyBorder="1" applyAlignment="1">
      <alignment horizontal="center" vertical="center"/>
    </xf>
    <xf numFmtId="0" fontId="0" fillId="22" borderId="11" xfId="0" applyFont="1" applyFill="1" applyBorder="1" applyAlignment="1">
      <alignment horizontal="center" vertical="center" wrapText="1"/>
    </xf>
    <xf numFmtId="0" fontId="0" fillId="22" borderId="12" xfId="0" applyFont="1" applyFill="1" applyBorder="1" applyAlignment="1">
      <alignment horizontal="center" vertical="center" wrapText="1"/>
    </xf>
    <xf numFmtId="0" fontId="112" fillId="22" borderId="3" xfId="0" applyFont="1" applyFill="1" applyBorder="1" applyAlignment="1">
      <alignment horizontal="center" vertical="center" wrapText="1" readingOrder="1"/>
    </xf>
    <xf numFmtId="0" fontId="99" fillId="0" borderId="65" xfId="0" applyFont="1" applyBorder="1" applyAlignment="1">
      <alignment horizontal="center" vertical="center"/>
    </xf>
    <xf numFmtId="0" fontId="99" fillId="0" borderId="22" xfId="0" applyFont="1" applyBorder="1" applyAlignment="1">
      <alignment horizontal="center" vertical="center"/>
    </xf>
    <xf numFmtId="0" fontId="99" fillId="0" borderId="13" xfId="0" applyFont="1" applyBorder="1" applyAlignment="1">
      <alignment horizontal="center" vertical="center"/>
    </xf>
    <xf numFmtId="9" fontId="99" fillId="0" borderId="3" xfId="0" applyNumberFormat="1" applyFont="1" applyBorder="1" applyAlignment="1">
      <alignment horizontal="center" vertical="center" wrapText="1"/>
    </xf>
    <xf numFmtId="0" fontId="99" fillId="0" borderId="3" xfId="0" applyFont="1" applyBorder="1" applyAlignment="1">
      <alignment horizontal="center" vertical="center" wrapText="1"/>
    </xf>
    <xf numFmtId="0" fontId="99" fillId="0" borderId="3" xfId="0" applyFont="1" applyBorder="1" applyAlignment="1">
      <alignment horizontal="left" vertical="center" wrapText="1"/>
    </xf>
    <xf numFmtId="0" fontId="68" fillId="5" borderId="22" xfId="7" applyFont="1" applyBorder="1" applyAlignment="1">
      <alignment horizontal="center" vertical="center"/>
    </xf>
    <xf numFmtId="0" fontId="68" fillId="5" borderId="234" xfId="7" applyFont="1" applyBorder="1" applyAlignment="1">
      <alignment horizontal="center" vertical="center"/>
    </xf>
    <xf numFmtId="9" fontId="99" fillId="0" borderId="3" xfId="0" applyNumberFormat="1" applyFont="1" applyBorder="1" applyAlignment="1">
      <alignment horizontal="center" vertical="center"/>
    </xf>
    <xf numFmtId="0" fontId="99" fillId="0" borderId="3" xfId="0" applyFont="1" applyBorder="1" applyAlignment="1">
      <alignment horizontal="center" vertical="center"/>
    </xf>
    <xf numFmtId="0" fontId="99" fillId="0" borderId="9" xfId="0" applyFont="1" applyBorder="1" applyAlignment="1">
      <alignment horizontal="center" vertical="center" wrapText="1"/>
    </xf>
    <xf numFmtId="0" fontId="99" fillId="0" borderId="12" xfId="0" applyFont="1" applyBorder="1" applyAlignment="1">
      <alignment horizontal="center" vertical="center" wrapText="1"/>
    </xf>
    <xf numFmtId="0" fontId="99" fillId="0" borderId="11" xfId="0" applyFont="1" applyBorder="1" applyAlignment="1">
      <alignment horizontal="center" vertical="center" wrapText="1"/>
    </xf>
    <xf numFmtId="9" fontId="99" fillId="0" borderId="9" xfId="0" applyNumberFormat="1" applyFont="1" applyBorder="1" applyAlignment="1">
      <alignment horizontal="center" vertical="center"/>
    </xf>
    <xf numFmtId="0" fontId="99" fillId="0" borderId="11" xfId="0" applyFont="1" applyBorder="1" applyAlignment="1">
      <alignment horizontal="center" vertical="center"/>
    </xf>
    <xf numFmtId="0" fontId="99" fillId="0" borderId="12" xfId="0" applyFont="1" applyBorder="1" applyAlignment="1">
      <alignment horizontal="center" vertical="center"/>
    </xf>
    <xf numFmtId="9" fontId="99" fillId="36" borderId="3" xfId="0" applyNumberFormat="1" applyFont="1" applyFill="1" applyBorder="1" applyAlignment="1">
      <alignment horizontal="center" vertical="center"/>
    </xf>
    <xf numFmtId="0" fontId="99" fillId="36" borderId="3" xfId="0" applyFont="1" applyFill="1" applyBorder="1" applyAlignment="1">
      <alignment horizontal="center" vertical="center"/>
    </xf>
    <xf numFmtId="9" fontId="99" fillId="36" borderId="3" xfId="0" applyNumberFormat="1" applyFont="1" applyFill="1" applyBorder="1" applyAlignment="1">
      <alignment horizontal="center" vertical="center" wrapText="1"/>
    </xf>
    <xf numFmtId="0" fontId="99" fillId="36" borderId="3" xfId="0" applyFont="1" applyFill="1" applyBorder="1" applyAlignment="1">
      <alignment horizontal="center" vertical="center" wrapText="1"/>
    </xf>
    <xf numFmtId="9" fontId="99" fillId="0" borderId="3" xfId="0" applyNumberFormat="1" applyFont="1" applyFill="1" applyBorder="1" applyAlignment="1">
      <alignment horizontal="center" vertical="center"/>
    </xf>
    <xf numFmtId="0" fontId="99" fillId="0" borderId="9" xfId="0" applyFont="1" applyFill="1" applyBorder="1" applyAlignment="1">
      <alignment horizontal="center" vertical="center"/>
    </xf>
    <xf numFmtId="0" fontId="99" fillId="0" borderId="3" xfId="0" applyFont="1" applyFill="1" applyBorder="1" applyAlignment="1">
      <alignment horizontal="left" vertical="center" wrapText="1"/>
    </xf>
    <xf numFmtId="0" fontId="99" fillId="0" borderId="9" xfId="0" applyFont="1" applyFill="1" applyBorder="1" applyAlignment="1">
      <alignment horizontal="left" vertical="center" wrapText="1"/>
    </xf>
    <xf numFmtId="9" fontId="53" fillId="0" borderId="3" xfId="0" applyNumberFormat="1" applyFont="1" applyFill="1" applyBorder="1" applyAlignment="1">
      <alignment horizontal="center" vertical="center"/>
    </xf>
    <xf numFmtId="0" fontId="53" fillId="0" borderId="3" xfId="0" applyFont="1" applyFill="1" applyBorder="1" applyAlignment="1">
      <alignment horizontal="center" vertical="center"/>
    </xf>
    <xf numFmtId="0" fontId="53" fillId="0" borderId="3" xfId="0" applyFont="1" applyFill="1" applyBorder="1" applyAlignment="1">
      <alignment horizontal="left" vertical="center" wrapText="1"/>
    </xf>
    <xf numFmtId="0" fontId="53" fillId="0" borderId="3" xfId="0" applyFont="1" applyFill="1" applyBorder="1" applyAlignment="1">
      <alignment horizontal="center" vertical="center" wrapText="1"/>
    </xf>
    <xf numFmtId="0" fontId="53" fillId="0" borderId="11" xfId="0" applyFont="1" applyFill="1" applyBorder="1" applyAlignment="1">
      <alignment horizontal="center" vertical="center" wrapText="1"/>
    </xf>
    <xf numFmtId="0" fontId="53" fillId="0" borderId="12" xfId="0" applyFont="1" applyFill="1" applyBorder="1" applyAlignment="1">
      <alignment horizontal="center" vertical="center" wrapText="1"/>
    </xf>
    <xf numFmtId="9" fontId="53" fillId="0" borderId="3" xfId="0" applyNumberFormat="1" applyFont="1" applyFill="1" applyBorder="1" applyAlignment="1">
      <alignment horizontal="center" vertical="center" wrapText="1"/>
    </xf>
    <xf numFmtId="0" fontId="53" fillId="0" borderId="3" xfId="0" applyFont="1" applyBorder="1" applyAlignment="1">
      <alignment horizontal="left" vertical="center" wrapText="1"/>
    </xf>
    <xf numFmtId="0" fontId="53" fillId="0" borderId="9" xfId="0" applyFont="1" applyFill="1" applyBorder="1" applyAlignment="1">
      <alignment horizontal="left" vertical="center" wrapText="1"/>
    </xf>
    <xf numFmtId="0" fontId="53" fillId="0" borderId="12" xfId="0" applyFont="1" applyFill="1" applyBorder="1" applyAlignment="1">
      <alignment horizontal="left" vertical="center" wrapText="1"/>
    </xf>
    <xf numFmtId="9" fontId="53" fillId="0" borderId="12" xfId="0" applyNumberFormat="1" applyFont="1" applyFill="1" applyBorder="1" applyAlignment="1">
      <alignment horizontal="center" vertical="center"/>
    </xf>
    <xf numFmtId="0" fontId="53" fillId="0" borderId="9" xfId="0" applyFont="1" applyFill="1" applyBorder="1" applyAlignment="1">
      <alignment horizontal="center" vertical="center"/>
    </xf>
    <xf numFmtId="0" fontId="53" fillId="0" borderId="65" xfId="0" applyFont="1" applyFill="1" applyBorder="1" applyAlignment="1">
      <alignment horizontal="center" vertical="center"/>
    </xf>
    <xf numFmtId="0" fontId="53" fillId="0" borderId="22" xfId="0" applyFont="1" applyFill="1" applyBorder="1" applyAlignment="1">
      <alignment horizontal="center" vertical="center"/>
    </xf>
    <xf numFmtId="0" fontId="53" fillId="0" borderId="13" xfId="0" applyFont="1" applyFill="1" applyBorder="1" applyAlignment="1">
      <alignment horizontal="center" vertical="center"/>
    </xf>
    <xf numFmtId="0" fontId="99" fillId="0" borderId="3" xfId="0" applyFont="1" applyFill="1" applyBorder="1" applyAlignment="1">
      <alignment horizontal="center" vertical="center"/>
    </xf>
    <xf numFmtId="9" fontId="99" fillId="22" borderId="3" xfId="0" applyNumberFormat="1" applyFont="1" applyFill="1" applyBorder="1" applyAlignment="1">
      <alignment horizontal="center" vertical="center"/>
    </xf>
    <xf numFmtId="0" fontId="99" fillId="22" borderId="3" xfId="0" applyFont="1" applyFill="1" applyBorder="1" applyAlignment="1">
      <alignment horizontal="center" vertical="center"/>
    </xf>
    <xf numFmtId="0" fontId="126" fillId="22" borderId="3" xfId="0" applyFont="1" applyFill="1" applyBorder="1" applyAlignment="1">
      <alignment horizontal="center" vertical="center" wrapText="1"/>
    </xf>
    <xf numFmtId="0" fontId="0" fillId="23" borderId="3" xfId="0" applyFont="1" applyFill="1" applyBorder="1" applyAlignment="1">
      <alignment horizontal="center" vertical="center"/>
    </xf>
    <xf numFmtId="0" fontId="0" fillId="22" borderId="15" xfId="0" applyFont="1" applyFill="1" applyBorder="1" applyAlignment="1">
      <alignment horizontal="center" vertical="center" wrapText="1"/>
    </xf>
    <xf numFmtId="9" fontId="56" fillId="22" borderId="3" xfId="28" applyFont="1" applyFill="1" applyBorder="1" applyAlignment="1">
      <alignment horizontal="center" vertical="center" wrapText="1"/>
    </xf>
    <xf numFmtId="9" fontId="0" fillId="0" borderId="10" xfId="0" applyNumberFormat="1" applyFont="1" applyBorder="1" applyAlignment="1">
      <alignment horizontal="center" vertical="center"/>
    </xf>
    <xf numFmtId="0" fontId="0" fillId="0" borderId="14" xfId="0" applyFont="1" applyBorder="1" applyAlignment="1">
      <alignment horizontal="center" vertical="center"/>
    </xf>
    <xf numFmtId="0" fontId="0" fillId="23" borderId="9" xfId="0" applyFont="1" applyFill="1" applyBorder="1" applyAlignment="1">
      <alignment horizontal="center" vertical="center"/>
    </xf>
    <xf numFmtId="0" fontId="0" fillId="23" borderId="11" xfId="0" applyFont="1" applyFill="1" applyBorder="1" applyAlignment="1">
      <alignment horizontal="center" vertical="center"/>
    </xf>
    <xf numFmtId="9" fontId="0" fillId="22" borderId="11" xfId="0" applyNumberFormat="1" applyFont="1" applyFill="1" applyBorder="1" applyAlignment="1">
      <alignment horizontal="center" vertical="center"/>
    </xf>
    <xf numFmtId="9" fontId="99" fillId="0" borderId="9" xfId="28" applyFont="1" applyBorder="1" applyAlignment="1">
      <alignment horizontal="center" vertical="center"/>
    </xf>
    <xf numFmtId="9" fontId="99" fillId="0" borderId="12" xfId="28" applyFont="1" applyBorder="1" applyAlignment="1">
      <alignment horizontal="center" vertical="center"/>
    </xf>
    <xf numFmtId="10" fontId="0" fillId="0" borderId="3" xfId="0" applyNumberFormat="1" applyFont="1" applyBorder="1" applyAlignment="1">
      <alignment horizontal="center" vertical="center"/>
    </xf>
    <xf numFmtId="0" fontId="56" fillId="41" borderId="3" xfId="19" applyFont="1" applyFill="1" applyBorder="1" applyAlignment="1" applyProtection="1">
      <alignment horizontal="center" vertical="center" wrapText="1"/>
      <protection locked="0"/>
    </xf>
    <xf numFmtId="16" fontId="56" fillId="41" borderId="3" xfId="19" applyNumberFormat="1" applyFont="1" applyFill="1" applyBorder="1" applyAlignment="1" applyProtection="1">
      <alignment horizontal="center" vertical="center" wrapText="1"/>
      <protection locked="0"/>
    </xf>
    <xf numFmtId="49" fontId="56" fillId="41" borderId="3" xfId="19" applyNumberFormat="1" applyFont="1" applyFill="1" applyBorder="1" applyAlignment="1" applyProtection="1">
      <alignment horizontal="center" vertical="center" wrapText="1"/>
      <protection locked="0"/>
    </xf>
    <xf numFmtId="0" fontId="0" fillId="0" borderId="15" xfId="0" applyFont="1" applyBorder="1" applyAlignment="1">
      <alignment horizontal="center" vertical="center"/>
    </xf>
    <xf numFmtId="0" fontId="0" fillId="0" borderId="64" xfId="0" applyFont="1" applyBorder="1" applyAlignment="1">
      <alignment horizontal="center" vertical="center"/>
    </xf>
    <xf numFmtId="0" fontId="0" fillId="0" borderId="20" xfId="0" applyFont="1" applyBorder="1" applyAlignment="1">
      <alignment horizontal="center" vertical="center"/>
    </xf>
    <xf numFmtId="0" fontId="68" fillId="39" borderId="0" xfId="0" applyFont="1" applyFill="1" applyBorder="1" applyAlignment="1">
      <alignment horizontal="center" vertical="center" wrapText="1"/>
    </xf>
    <xf numFmtId="9" fontId="112" fillId="0" borderId="3" xfId="9" applyNumberFormat="1" applyFont="1" applyBorder="1" applyAlignment="1">
      <alignment horizontal="center" vertical="center"/>
    </xf>
    <xf numFmtId="0" fontId="113" fillId="24" borderId="9" xfId="0" applyFont="1" applyFill="1" applyBorder="1" applyAlignment="1">
      <alignment horizontal="center" vertical="center" wrapText="1"/>
    </xf>
    <xf numFmtId="0" fontId="113" fillId="24" borderId="11" xfId="0" applyFont="1" applyFill="1" applyBorder="1" applyAlignment="1">
      <alignment horizontal="center" vertical="center" wrapText="1"/>
    </xf>
    <xf numFmtId="0" fontId="113" fillId="24" borderId="12" xfId="0" applyFont="1" applyFill="1" applyBorder="1" applyAlignment="1">
      <alignment horizontal="center" vertical="center" wrapText="1"/>
    </xf>
    <xf numFmtId="9" fontId="112" fillId="0" borderId="9" xfId="9" applyNumberFormat="1" applyFont="1" applyBorder="1" applyAlignment="1">
      <alignment horizontal="center" vertical="center"/>
    </xf>
    <xf numFmtId="9" fontId="112" fillId="0" borderId="11" xfId="9" applyNumberFormat="1" applyFont="1" applyBorder="1" applyAlignment="1">
      <alignment horizontal="center" vertical="center"/>
    </xf>
    <xf numFmtId="9" fontId="112" fillId="0" borderId="12" xfId="9" applyNumberFormat="1" applyFont="1" applyBorder="1" applyAlignment="1">
      <alignment horizontal="center" vertical="center"/>
    </xf>
    <xf numFmtId="9" fontId="112" fillId="0" borderId="9" xfId="0" applyNumberFormat="1" applyFont="1" applyBorder="1" applyAlignment="1">
      <alignment horizontal="center" vertical="center"/>
    </xf>
    <xf numFmtId="9" fontId="112" fillId="0" borderId="12" xfId="0" applyNumberFormat="1" applyFont="1" applyBorder="1" applyAlignment="1">
      <alignment horizontal="center" vertical="center"/>
    </xf>
    <xf numFmtId="9" fontId="112" fillId="0" borderId="11" xfId="0" applyNumberFormat="1" applyFont="1" applyBorder="1" applyAlignment="1">
      <alignment horizontal="center" vertical="center"/>
    </xf>
    <xf numFmtId="9" fontId="112" fillId="0" borderId="12" xfId="0" applyNumberFormat="1" applyFont="1" applyBorder="1" applyAlignment="1">
      <alignment horizontal="center" vertical="center" wrapText="1"/>
    </xf>
    <xf numFmtId="10" fontId="0" fillId="0" borderId="264" xfId="0" applyNumberFormat="1" applyFont="1" applyBorder="1" applyAlignment="1">
      <alignment horizontal="center" vertical="center"/>
    </xf>
    <xf numFmtId="0" fontId="0" fillId="0" borderId="265" xfId="0" applyFont="1" applyBorder="1" applyAlignment="1">
      <alignment horizontal="center" vertical="center"/>
    </xf>
    <xf numFmtId="0" fontId="126" fillId="22" borderId="9" xfId="0" applyFont="1" applyFill="1" applyBorder="1" applyAlignment="1">
      <alignment horizontal="center" vertical="center" wrapText="1"/>
    </xf>
    <xf numFmtId="15" fontId="0" fillId="22" borderId="3" xfId="0" applyNumberFormat="1" applyFont="1" applyFill="1" applyBorder="1" applyAlignment="1">
      <alignment horizontal="center" vertical="center" wrapText="1"/>
    </xf>
    <xf numFmtId="9" fontId="66" fillId="28" borderId="12" xfId="28" applyFont="1" applyFill="1" applyBorder="1" applyAlignment="1">
      <alignment horizontal="center" vertical="center" wrapText="1"/>
    </xf>
    <xf numFmtId="9" fontId="66" fillId="28" borderId="3" xfId="28" applyFont="1" applyFill="1" applyBorder="1" applyAlignment="1">
      <alignment horizontal="center" vertical="center" wrapText="1"/>
    </xf>
    <xf numFmtId="0" fontId="66" fillId="28" borderId="12" xfId="0" applyFont="1" applyFill="1" applyBorder="1" applyAlignment="1">
      <alignment horizontal="center" vertical="center" wrapText="1"/>
    </xf>
    <xf numFmtId="0" fontId="66" fillId="28" borderId="3" xfId="0" applyFont="1" applyFill="1" applyBorder="1" applyAlignment="1">
      <alignment horizontal="center" vertical="center" wrapText="1"/>
    </xf>
    <xf numFmtId="9" fontId="66" fillId="28" borderId="20" xfId="28" applyFont="1" applyFill="1" applyBorder="1" applyAlignment="1">
      <alignment horizontal="center" vertical="center" wrapText="1"/>
    </xf>
    <xf numFmtId="9" fontId="66" fillId="28" borderId="35" xfId="28" applyFont="1" applyFill="1" applyBorder="1" applyAlignment="1">
      <alignment horizontal="center" vertical="center" wrapText="1"/>
    </xf>
    <xf numFmtId="9" fontId="95" fillId="22" borderId="3" xfId="28" applyFont="1" applyFill="1" applyBorder="1" applyAlignment="1">
      <alignment horizontal="center" vertical="center" wrapText="1" readingOrder="1"/>
    </xf>
    <xf numFmtId="0" fontId="95" fillId="22" borderId="3" xfId="0" applyFont="1" applyFill="1" applyBorder="1" applyAlignment="1">
      <alignment horizontal="center" vertical="center" wrapText="1" readingOrder="1"/>
    </xf>
    <xf numFmtId="9" fontId="0" fillId="22" borderId="15" xfId="0" applyNumberFormat="1" applyFont="1" applyFill="1" applyBorder="1" applyAlignment="1">
      <alignment horizontal="center" vertical="center"/>
    </xf>
    <xf numFmtId="0" fontId="66" fillId="28" borderId="9" xfId="0" applyFont="1" applyFill="1" applyBorder="1" applyAlignment="1">
      <alignment horizontal="center" vertical="center" wrapText="1"/>
    </xf>
    <xf numFmtId="9" fontId="56" fillId="22" borderId="20" xfId="28" applyFont="1" applyFill="1" applyBorder="1" applyAlignment="1">
      <alignment horizontal="center" vertical="center" wrapText="1"/>
    </xf>
    <xf numFmtId="15" fontId="0" fillId="22" borderId="9" xfId="0" applyNumberFormat="1" applyFont="1" applyFill="1" applyBorder="1" applyAlignment="1">
      <alignment horizontal="center" vertical="center" wrapText="1"/>
    </xf>
    <xf numFmtId="15" fontId="0" fillId="22" borderId="11" xfId="0" applyNumberFormat="1" applyFont="1" applyFill="1" applyBorder="1" applyAlignment="1">
      <alignment horizontal="center" vertical="center" wrapText="1"/>
    </xf>
    <xf numFmtId="15" fontId="0" fillId="22" borderId="12" xfId="0" applyNumberFormat="1" applyFont="1" applyFill="1" applyBorder="1" applyAlignment="1">
      <alignment horizontal="center" vertical="center" wrapText="1"/>
    </xf>
    <xf numFmtId="15" fontId="66" fillId="22" borderId="9" xfId="0" applyNumberFormat="1" applyFont="1" applyFill="1" applyBorder="1" applyAlignment="1">
      <alignment horizontal="center" vertical="center" wrapText="1"/>
    </xf>
    <xf numFmtId="15" fontId="66" fillId="22" borderId="11" xfId="0" applyNumberFormat="1" applyFont="1" applyFill="1" applyBorder="1" applyAlignment="1">
      <alignment horizontal="center" vertical="center" wrapText="1"/>
    </xf>
    <xf numFmtId="15" fontId="66" fillId="22" borderId="12" xfId="0" applyNumberFormat="1" applyFont="1" applyFill="1" applyBorder="1" applyAlignment="1">
      <alignment horizontal="center" vertical="center" wrapText="1"/>
    </xf>
    <xf numFmtId="0" fontId="0" fillId="22" borderId="65" xfId="0" applyFont="1" applyFill="1" applyBorder="1" applyAlignment="1">
      <alignment horizontal="center" vertical="center"/>
    </xf>
    <xf numFmtId="0" fontId="0" fillId="22" borderId="22" xfId="0" applyFont="1" applyFill="1" applyBorder="1" applyAlignment="1">
      <alignment horizontal="center" vertical="center"/>
    </xf>
    <xf numFmtId="0" fontId="0" fillId="22" borderId="13" xfId="0" applyFont="1" applyFill="1" applyBorder="1" applyAlignment="1">
      <alignment horizontal="center" vertical="center"/>
    </xf>
    <xf numFmtId="0" fontId="66" fillId="28" borderId="22" xfId="0" applyFont="1" applyFill="1" applyBorder="1" applyAlignment="1">
      <alignment horizontal="center" vertical="center"/>
    </xf>
    <xf numFmtId="0" fontId="66" fillId="28" borderId="13" xfId="0" applyFont="1" applyFill="1" applyBorder="1" applyAlignment="1">
      <alignment horizontal="center" vertical="center"/>
    </xf>
    <xf numFmtId="0" fontId="66" fillId="28" borderId="65" xfId="0" applyFont="1" applyFill="1" applyBorder="1" applyAlignment="1">
      <alignment horizontal="center" vertical="center"/>
    </xf>
    <xf numFmtId="9" fontId="66" fillId="28" borderId="3" xfId="0" applyNumberFormat="1" applyFont="1" applyFill="1" applyBorder="1" applyAlignment="1">
      <alignment horizontal="center" vertical="center" wrapText="1"/>
    </xf>
    <xf numFmtId="0" fontId="69" fillId="22" borderId="3" xfId="0" applyFont="1" applyFill="1" applyBorder="1" applyAlignment="1">
      <alignment horizontal="center" vertical="center" wrapText="1"/>
    </xf>
    <xf numFmtId="9" fontId="66" fillId="28" borderId="12" xfId="0" applyNumberFormat="1" applyFont="1" applyFill="1" applyBorder="1" applyAlignment="1">
      <alignment horizontal="center" vertical="center" wrapText="1"/>
    </xf>
    <xf numFmtId="0" fontId="66" fillId="28" borderId="12" xfId="0" applyFont="1" applyFill="1" applyBorder="1" applyAlignment="1">
      <alignment vertical="center" wrapText="1"/>
    </xf>
    <xf numFmtId="0" fontId="66" fillId="28" borderId="3" xfId="0" applyFont="1" applyFill="1" applyBorder="1" applyAlignment="1">
      <alignment vertical="center" wrapText="1"/>
    </xf>
    <xf numFmtId="1" fontId="0" fillId="22" borderId="3" xfId="0" applyNumberFormat="1" applyFont="1" applyFill="1" applyBorder="1" applyAlignment="1">
      <alignment horizontal="center" vertical="center" wrapText="1"/>
    </xf>
    <xf numFmtId="0" fontId="0" fillId="22" borderId="3" xfId="0" applyFont="1" applyFill="1" applyBorder="1" applyAlignment="1">
      <alignment horizontal="left" vertical="center" wrapText="1"/>
    </xf>
    <xf numFmtId="15" fontId="0" fillId="22" borderId="65" xfId="0" applyNumberFormat="1" applyFont="1" applyFill="1" applyBorder="1" applyAlignment="1">
      <alignment horizontal="center" vertical="center"/>
    </xf>
    <xf numFmtId="15" fontId="0" fillId="22" borderId="22" xfId="0" applyNumberFormat="1" applyFont="1" applyFill="1" applyBorder="1" applyAlignment="1">
      <alignment horizontal="center" vertical="center"/>
    </xf>
    <xf numFmtId="15" fontId="0" fillId="22" borderId="13" xfId="0" applyNumberFormat="1" applyFont="1" applyFill="1" applyBorder="1" applyAlignment="1">
      <alignment horizontal="center" vertical="center"/>
    </xf>
    <xf numFmtId="15" fontId="0" fillId="18" borderId="3" xfId="0" applyNumberFormat="1" applyFont="1" applyFill="1" applyBorder="1" applyAlignment="1">
      <alignment horizontal="center" vertical="center" wrapText="1"/>
    </xf>
    <xf numFmtId="9" fontId="0" fillId="18" borderId="3" xfId="0" applyNumberFormat="1" applyFont="1" applyFill="1" applyBorder="1" applyAlignment="1">
      <alignment horizontal="center" vertical="center" wrapText="1"/>
    </xf>
    <xf numFmtId="0" fontId="127" fillId="28" borderId="11" xfId="0" applyFont="1" applyFill="1" applyBorder="1" applyAlignment="1">
      <alignment horizontal="center" vertical="center" wrapText="1"/>
    </xf>
    <xf numFmtId="0" fontId="127" fillId="28" borderId="12" xfId="0" applyFont="1" applyFill="1" applyBorder="1" applyAlignment="1">
      <alignment horizontal="center" vertical="center" wrapText="1"/>
    </xf>
    <xf numFmtId="0" fontId="112" fillId="35" borderId="3" xfId="0" applyFont="1" applyFill="1" applyBorder="1" applyAlignment="1">
      <alignment horizontal="center" vertical="center" wrapText="1"/>
    </xf>
    <xf numFmtId="9" fontId="112" fillId="35" borderId="3" xfId="0" applyNumberFormat="1" applyFont="1" applyFill="1" applyBorder="1" applyAlignment="1">
      <alignment horizontal="center" vertical="center" wrapText="1"/>
    </xf>
    <xf numFmtId="0" fontId="0" fillId="22" borderId="60" xfId="0" applyFont="1" applyFill="1" applyBorder="1" applyAlignment="1">
      <alignment horizontal="center" vertical="center" wrapText="1"/>
    </xf>
    <xf numFmtId="0" fontId="0" fillId="22" borderId="92" xfId="0" applyFont="1" applyFill="1" applyBorder="1" applyAlignment="1">
      <alignment horizontal="center" vertical="center" wrapText="1"/>
    </xf>
    <xf numFmtId="0" fontId="0" fillId="22" borderId="2" xfId="0" applyFont="1" applyFill="1" applyBorder="1" applyAlignment="1">
      <alignment horizontal="center" vertical="center" wrapText="1"/>
    </xf>
    <xf numFmtId="0" fontId="0" fillId="35" borderId="3" xfId="0"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4" xfId="0" applyFont="1" applyBorder="1" applyAlignment="1">
      <alignment horizontal="center" vertical="center" wrapText="1"/>
    </xf>
    <xf numFmtId="0" fontId="0" fillId="0" borderId="87" xfId="0" applyFont="1" applyBorder="1" applyAlignment="1">
      <alignment horizontal="center" vertical="center" wrapText="1"/>
    </xf>
    <xf numFmtId="0" fontId="0" fillId="0" borderId="96" xfId="0" applyFont="1" applyBorder="1" applyAlignment="1">
      <alignment horizontal="center" vertical="center" wrapText="1"/>
    </xf>
    <xf numFmtId="0" fontId="66" fillId="28" borderId="12" xfId="0" applyFont="1" applyFill="1" applyBorder="1" applyAlignment="1">
      <alignment horizontal="left" vertical="center" wrapText="1"/>
    </xf>
    <xf numFmtId="0" fontId="66" fillId="28" borderId="3" xfId="0" applyFont="1" applyFill="1" applyBorder="1" applyAlignment="1">
      <alignment horizontal="left" vertical="center" wrapText="1"/>
    </xf>
    <xf numFmtId="0" fontId="0" fillId="22" borderId="9" xfId="0" applyFont="1" applyFill="1" applyBorder="1" applyAlignment="1">
      <alignment horizontal="left" vertical="center" wrapText="1"/>
    </xf>
    <xf numFmtId="0" fontId="0" fillId="22" borderId="11" xfId="0" applyFont="1" applyFill="1" applyBorder="1" applyAlignment="1">
      <alignment horizontal="left" vertical="center" wrapText="1"/>
    </xf>
    <xf numFmtId="0" fontId="0" fillId="22" borderId="12" xfId="0" applyFont="1" applyFill="1" applyBorder="1" applyAlignment="1">
      <alignment horizontal="left" vertical="center" wrapText="1"/>
    </xf>
    <xf numFmtId="0" fontId="112" fillId="22" borderId="3" xfId="0" applyFont="1" applyFill="1" applyBorder="1" applyAlignment="1">
      <alignment horizontal="left" vertical="center" wrapText="1"/>
    </xf>
    <xf numFmtId="0" fontId="66" fillId="28" borderId="9" xfId="0" applyFont="1" applyFill="1" applyBorder="1" applyAlignment="1">
      <alignment horizontal="left" vertical="center" wrapText="1"/>
    </xf>
    <xf numFmtId="0" fontId="66" fillId="28" borderId="11" xfId="0" applyFont="1" applyFill="1" applyBorder="1" applyAlignment="1">
      <alignment horizontal="left" vertical="center" wrapText="1"/>
    </xf>
    <xf numFmtId="0" fontId="95" fillId="22" borderId="9" xfId="0" applyFont="1" applyFill="1" applyBorder="1" applyAlignment="1">
      <alignment horizontal="center" vertical="center" wrapText="1" readingOrder="1"/>
    </xf>
    <xf numFmtId="0" fontId="95" fillId="22" borderId="11" xfId="0" applyFont="1" applyFill="1" applyBorder="1" applyAlignment="1">
      <alignment horizontal="center" vertical="center" wrapText="1" readingOrder="1"/>
    </xf>
    <xf numFmtId="0" fontId="95" fillId="22" borderId="12" xfId="0" applyFont="1" applyFill="1" applyBorder="1" applyAlignment="1">
      <alignment horizontal="center" vertical="center" wrapText="1" readingOrder="1"/>
    </xf>
    <xf numFmtId="9" fontId="0" fillId="0" borderId="65" xfId="0" applyNumberFormat="1" applyFont="1" applyBorder="1" applyAlignment="1">
      <alignment horizontal="center" vertical="center"/>
    </xf>
    <xf numFmtId="0" fontId="0" fillId="0" borderId="22" xfId="0" applyFont="1" applyBorder="1" applyAlignment="1">
      <alignment horizontal="center" vertical="center"/>
    </xf>
    <xf numFmtId="0" fontId="0" fillId="0" borderId="13" xfId="0" applyFont="1" applyBorder="1" applyAlignment="1">
      <alignment horizontal="center" vertical="center"/>
    </xf>
    <xf numFmtId="9" fontId="0" fillId="0" borderId="130" xfId="0" applyNumberFormat="1" applyFont="1" applyBorder="1" applyAlignment="1">
      <alignment horizontal="center" vertical="center"/>
    </xf>
    <xf numFmtId="0" fontId="0" fillId="0" borderId="133" xfId="0" applyFont="1" applyBorder="1" applyAlignment="1">
      <alignment horizontal="center" vertical="center"/>
    </xf>
    <xf numFmtId="0" fontId="0" fillId="0" borderId="135" xfId="0" applyFont="1" applyBorder="1" applyAlignment="1">
      <alignment horizontal="center" vertical="center"/>
    </xf>
    <xf numFmtId="0" fontId="0" fillId="27" borderId="15" xfId="0" applyFont="1" applyFill="1" applyBorder="1" applyAlignment="1">
      <alignment horizontal="center" vertical="center" wrapText="1"/>
    </xf>
    <xf numFmtId="0" fontId="0" fillId="27" borderId="130" xfId="0" applyFont="1" applyFill="1" applyBorder="1" applyAlignment="1">
      <alignment horizontal="center" vertical="center" wrapText="1"/>
    </xf>
    <xf numFmtId="0" fontId="0" fillId="27" borderId="133" xfId="0" applyFont="1" applyFill="1" applyBorder="1" applyAlignment="1">
      <alignment horizontal="center" vertical="center" wrapText="1"/>
    </xf>
    <xf numFmtId="0" fontId="0" fillId="27" borderId="135" xfId="0" applyFont="1" applyFill="1" applyBorder="1" applyAlignment="1">
      <alignment horizontal="center" vertical="center" wrapText="1"/>
    </xf>
    <xf numFmtId="0" fontId="68" fillId="5" borderId="266" xfId="7" applyFont="1" applyBorder="1" applyAlignment="1">
      <alignment horizontal="center" vertical="center"/>
    </xf>
    <xf numFmtId="0" fontId="68" fillId="5" borderId="267" xfId="7" applyFont="1" applyBorder="1" applyAlignment="1">
      <alignment horizontal="center" vertical="center"/>
    </xf>
    <xf numFmtId="0" fontId="68" fillId="5" borderId="268" xfId="7" applyFont="1" applyBorder="1" applyAlignment="1">
      <alignment horizontal="center" vertical="center"/>
    </xf>
    <xf numFmtId="0" fontId="68" fillId="5" borderId="269" xfId="7" applyFont="1" applyBorder="1" applyAlignment="1">
      <alignment horizontal="center" vertical="center" wrapText="1"/>
    </xf>
    <xf numFmtId="0" fontId="68" fillId="5" borderId="14" xfId="7" applyFont="1" applyBorder="1" applyAlignment="1">
      <alignment horizontal="center" vertical="center" wrapText="1"/>
    </xf>
    <xf numFmtId="0" fontId="128" fillId="22" borderId="3" xfId="0" applyFont="1" applyFill="1" applyBorder="1" applyAlignment="1">
      <alignment horizontal="center" vertical="center" wrapText="1"/>
    </xf>
    <xf numFmtId="0" fontId="128" fillId="22" borderId="9" xfId="0" applyFont="1" applyFill="1" applyBorder="1" applyAlignment="1">
      <alignment horizontal="center" vertical="center" wrapText="1"/>
    </xf>
    <xf numFmtId="9" fontId="0" fillId="22" borderId="9" xfId="0" applyNumberFormat="1" applyFont="1" applyFill="1" applyBorder="1" applyAlignment="1">
      <alignment horizontal="left" vertical="center" wrapText="1"/>
    </xf>
    <xf numFmtId="9" fontId="0" fillId="22" borderId="12" xfId="0" applyNumberFormat="1" applyFont="1" applyFill="1" applyBorder="1" applyAlignment="1">
      <alignment horizontal="left" vertical="center" wrapText="1"/>
    </xf>
    <xf numFmtId="0" fontId="0" fillId="23" borderId="9" xfId="0" applyFont="1" applyFill="1" applyBorder="1" applyAlignment="1">
      <alignment horizontal="center" vertical="center" wrapText="1"/>
    </xf>
    <xf numFmtId="0" fontId="0" fillId="33" borderId="3" xfId="0" applyFont="1" applyFill="1" applyBorder="1" applyAlignment="1">
      <alignment horizontal="center" vertical="center"/>
    </xf>
    <xf numFmtId="0" fontId="95" fillId="33" borderId="9" xfId="0" applyFont="1" applyFill="1" applyBorder="1" applyAlignment="1">
      <alignment horizontal="center" vertical="center" readingOrder="1"/>
    </xf>
    <xf numFmtId="0" fontId="95" fillId="33" borderId="11" xfId="0" applyFont="1" applyFill="1" applyBorder="1" applyAlignment="1">
      <alignment horizontal="center" vertical="center" readingOrder="1"/>
    </xf>
    <xf numFmtId="0" fontId="68" fillId="8" borderId="15" xfId="6" applyFont="1" applyBorder="1" applyAlignment="1">
      <alignment horizontal="center" vertical="center" wrapText="1"/>
    </xf>
    <xf numFmtId="0" fontId="68" fillId="8" borderId="20" xfId="6" applyFont="1" applyBorder="1" applyAlignment="1">
      <alignment horizontal="center" vertical="center" wrapText="1"/>
    </xf>
    <xf numFmtId="9" fontId="56" fillId="0" borderId="3" xfId="28" applyFont="1" applyBorder="1" applyAlignment="1">
      <alignment horizontal="center" vertical="center"/>
    </xf>
    <xf numFmtId="0" fontId="0" fillId="0" borderId="10" xfId="0" applyFont="1" applyBorder="1" applyAlignment="1">
      <alignment horizontal="left" vertical="center"/>
    </xf>
    <xf numFmtId="0" fontId="0" fillId="0" borderId="0" xfId="0" applyFont="1" applyBorder="1" applyAlignment="1">
      <alignment horizontal="left" vertical="center"/>
    </xf>
    <xf numFmtId="0" fontId="0" fillId="27" borderId="3" xfId="0" applyFont="1" applyFill="1" applyBorder="1" applyAlignment="1">
      <alignment horizontal="center" vertical="center" wrapText="1"/>
    </xf>
    <xf numFmtId="0" fontId="0" fillId="27" borderId="3" xfId="0" applyFont="1" applyFill="1" applyBorder="1" applyAlignment="1">
      <alignment horizontal="center" vertical="center"/>
    </xf>
    <xf numFmtId="0" fontId="69" fillId="0" borderId="3" xfId="0" applyFont="1" applyBorder="1" applyAlignment="1">
      <alignment horizontal="center" vertical="center" wrapText="1"/>
    </xf>
    <xf numFmtId="1" fontId="112" fillId="22" borderId="11" xfId="0" applyNumberFormat="1" applyFont="1" applyFill="1" applyBorder="1" applyAlignment="1">
      <alignment horizontal="center" vertical="center" wrapText="1"/>
    </xf>
    <xf numFmtId="0" fontId="68" fillId="5" borderId="270" xfId="7" applyFont="1" applyBorder="1" applyAlignment="1">
      <alignment horizontal="center" vertical="center"/>
    </xf>
    <xf numFmtId="0" fontId="0" fillId="32" borderId="33" xfId="0" applyFont="1" applyFill="1" applyBorder="1" applyAlignment="1">
      <alignment horizontal="center" vertical="center" wrapText="1"/>
    </xf>
    <xf numFmtId="0" fontId="0" fillId="32" borderId="11" xfId="0" applyFont="1" applyFill="1" applyBorder="1" applyAlignment="1">
      <alignment horizontal="center" vertical="center" wrapText="1"/>
    </xf>
    <xf numFmtId="0" fontId="0" fillId="32" borderId="12" xfId="0" applyFont="1" applyFill="1" applyBorder="1" applyAlignment="1">
      <alignment horizontal="center" vertical="center" wrapText="1"/>
    </xf>
    <xf numFmtId="9" fontId="128" fillId="22" borderId="3" xfId="0" applyNumberFormat="1" applyFont="1" applyFill="1" applyBorder="1" applyAlignment="1">
      <alignment horizontal="center" vertical="center" wrapText="1"/>
    </xf>
    <xf numFmtId="9" fontId="128" fillId="22" borderId="3" xfId="28" applyFont="1" applyFill="1" applyBorder="1" applyAlignment="1">
      <alignment horizontal="center" vertical="center" wrapText="1"/>
    </xf>
    <xf numFmtId="166" fontId="56" fillId="0" borderId="0" xfId="28" applyNumberFormat="1" applyFont="1" applyAlignment="1">
      <alignment horizontal="center" vertical="center"/>
    </xf>
    <xf numFmtId="9" fontId="0" fillId="22" borderId="271" xfId="0" applyNumberFormat="1" applyFont="1" applyFill="1" applyBorder="1" applyAlignment="1">
      <alignment horizontal="center" vertical="center" wrapText="1"/>
    </xf>
    <xf numFmtId="0" fontId="0" fillId="22" borderId="245" xfId="0" applyFont="1" applyFill="1" applyBorder="1" applyAlignment="1">
      <alignment horizontal="center" vertical="center" wrapText="1"/>
    </xf>
    <xf numFmtId="0" fontId="0" fillId="22" borderId="272" xfId="0" applyFont="1" applyFill="1" applyBorder="1" applyAlignment="1">
      <alignment horizontal="center" vertical="center" wrapText="1"/>
    </xf>
    <xf numFmtId="9" fontId="0" fillId="22" borderId="12" xfId="0" applyNumberFormat="1" applyFont="1" applyFill="1" applyBorder="1" applyAlignment="1">
      <alignment horizontal="center" vertical="center"/>
    </xf>
    <xf numFmtId="15" fontId="0" fillId="22" borderId="3" xfId="0" applyNumberFormat="1" applyFont="1" applyFill="1" applyBorder="1" applyAlignment="1">
      <alignment horizontal="center" vertical="center"/>
    </xf>
    <xf numFmtId="9" fontId="0" fillId="22" borderId="9" xfId="0" applyNumberFormat="1" applyFont="1" applyFill="1" applyBorder="1" applyAlignment="1">
      <alignment horizontal="center" vertical="center" wrapText="1"/>
    </xf>
    <xf numFmtId="9" fontId="0" fillId="22" borderId="11" xfId="0" applyNumberFormat="1" applyFont="1" applyFill="1" applyBorder="1" applyAlignment="1">
      <alignment horizontal="center" vertical="center" wrapText="1"/>
    </xf>
    <xf numFmtId="9" fontId="0" fillId="22" borderId="12" xfId="0" applyNumberFormat="1" applyFont="1" applyFill="1" applyBorder="1" applyAlignment="1">
      <alignment horizontal="center" vertical="center" wrapText="1"/>
    </xf>
    <xf numFmtId="0" fontId="0" fillId="22" borderId="182" xfId="0" applyFont="1" applyFill="1" applyBorder="1" applyAlignment="1">
      <alignment horizontal="center" vertical="center" wrapText="1"/>
    </xf>
    <xf numFmtId="0" fontId="0" fillId="22" borderId="236" xfId="0" applyFont="1" applyFill="1" applyBorder="1" applyAlignment="1">
      <alignment horizontal="center" vertical="center" wrapText="1"/>
    </xf>
    <xf numFmtId="0" fontId="0" fillId="22" borderId="237" xfId="0" applyFont="1" applyFill="1" applyBorder="1" applyAlignment="1">
      <alignment horizontal="center" vertical="center" wrapText="1"/>
    </xf>
    <xf numFmtId="0" fontId="0" fillId="22" borderId="273" xfId="0" applyFont="1" applyFill="1" applyBorder="1" applyAlignment="1">
      <alignment horizontal="center" vertical="center" wrapText="1"/>
    </xf>
    <xf numFmtId="0" fontId="0" fillId="22" borderId="274" xfId="0" applyFont="1" applyFill="1" applyBorder="1" applyAlignment="1">
      <alignment horizontal="center" vertical="center" wrapText="1"/>
    </xf>
    <xf numFmtId="0" fontId="0" fillId="22" borderId="275" xfId="0" applyFont="1" applyFill="1" applyBorder="1" applyAlignment="1">
      <alignment horizontal="center" vertical="center" wrapText="1"/>
    </xf>
    <xf numFmtId="0" fontId="0" fillId="22" borderId="130" xfId="0" applyFont="1" applyFill="1" applyBorder="1" applyAlignment="1">
      <alignment horizontal="center" vertical="center" wrapText="1"/>
    </xf>
    <xf numFmtId="0" fontId="0" fillId="22" borderId="133" xfId="0" applyFont="1" applyFill="1" applyBorder="1" applyAlignment="1">
      <alignment horizontal="center" vertical="center" wrapText="1"/>
    </xf>
    <xf numFmtId="0" fontId="0" fillId="22" borderId="135" xfId="0" applyFont="1" applyFill="1" applyBorder="1" applyAlignment="1">
      <alignment horizontal="center" vertical="center" wrapText="1"/>
    </xf>
    <xf numFmtId="0" fontId="112" fillId="22" borderId="131" xfId="0" applyFont="1" applyFill="1" applyBorder="1" applyAlignment="1">
      <alignment horizontal="center" vertical="center" wrapText="1"/>
    </xf>
    <xf numFmtId="0" fontId="112" fillId="22" borderId="134" xfId="0" applyFont="1" applyFill="1" applyBorder="1" applyAlignment="1">
      <alignment horizontal="center" vertical="center" wrapText="1"/>
    </xf>
    <xf numFmtId="0" fontId="112" fillId="22" borderId="136" xfId="0" applyFont="1" applyFill="1" applyBorder="1" applyAlignment="1">
      <alignment horizontal="center" vertical="center" wrapText="1"/>
    </xf>
    <xf numFmtId="15" fontId="0" fillId="22" borderId="12" xfId="0" applyNumberFormat="1" applyFont="1" applyFill="1" applyBorder="1" applyAlignment="1">
      <alignment horizontal="center" vertical="center"/>
    </xf>
    <xf numFmtId="9" fontId="0" fillId="22" borderId="130" xfId="0" applyNumberFormat="1" applyFont="1" applyFill="1" applyBorder="1" applyAlignment="1">
      <alignment horizontal="center" vertical="center"/>
    </xf>
    <xf numFmtId="15" fontId="0" fillId="22" borderId="133" xfId="0" applyNumberFormat="1" applyFont="1" applyFill="1" applyBorder="1" applyAlignment="1">
      <alignment horizontal="center" vertical="center"/>
    </xf>
    <xf numFmtId="15" fontId="0" fillId="22" borderId="135" xfId="0" applyNumberFormat="1" applyFont="1" applyFill="1" applyBorder="1" applyAlignment="1">
      <alignment horizontal="center" vertical="center"/>
    </xf>
    <xf numFmtId="9" fontId="2" fillId="22" borderId="3" xfId="0" applyNumberFormat="1" applyFont="1" applyFill="1" applyBorder="1" applyAlignment="1">
      <alignment horizontal="center" vertical="center"/>
    </xf>
    <xf numFmtId="15" fontId="2" fillId="22" borderId="3" xfId="0" applyNumberFormat="1" applyFont="1" applyFill="1" applyBorder="1" applyAlignment="1">
      <alignment horizontal="center" vertical="center"/>
    </xf>
    <xf numFmtId="9" fontId="61" fillId="22" borderId="9" xfId="0" applyNumberFormat="1" applyFont="1" applyFill="1" applyBorder="1" applyAlignment="1">
      <alignment horizontal="center" vertical="center" wrapText="1"/>
    </xf>
    <xf numFmtId="9" fontId="61" fillId="22" borderId="11" xfId="0" applyNumberFormat="1" applyFont="1" applyFill="1" applyBorder="1" applyAlignment="1">
      <alignment horizontal="center" vertical="center" wrapText="1"/>
    </xf>
    <xf numFmtId="9" fontId="61" fillId="22" borderId="12" xfId="0" applyNumberFormat="1" applyFont="1" applyFill="1" applyBorder="1" applyAlignment="1">
      <alignment horizontal="center" vertical="center" wrapText="1"/>
    </xf>
    <xf numFmtId="15" fontId="61" fillId="22" borderId="9" xfId="0" applyNumberFormat="1" applyFont="1" applyFill="1" applyBorder="1" applyAlignment="1">
      <alignment horizontal="center" vertical="center" wrapText="1"/>
    </xf>
    <xf numFmtId="15" fontId="61" fillId="22" borderId="12" xfId="0" applyNumberFormat="1" applyFont="1" applyFill="1" applyBorder="1" applyAlignment="1">
      <alignment horizontal="center" vertical="center" wrapText="1"/>
    </xf>
    <xf numFmtId="0" fontId="108" fillId="13" borderId="0" xfId="0" applyFont="1" applyFill="1" applyAlignment="1">
      <alignment horizontal="center" vertical="center"/>
    </xf>
    <xf numFmtId="0" fontId="2" fillId="35" borderId="9"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129" fillId="5" borderId="228" xfId="7" applyFont="1" applyBorder="1" applyAlignment="1">
      <alignment horizontal="center" vertical="center"/>
    </xf>
    <xf numFmtId="0" fontId="129" fillId="5" borderId="0" xfId="7" applyFont="1" applyBorder="1" applyAlignment="1">
      <alignment horizontal="center" vertical="center"/>
    </xf>
    <xf numFmtId="0" fontId="61" fillId="28" borderId="3" xfId="0" applyFont="1" applyFill="1" applyBorder="1" applyAlignment="1">
      <alignment horizontal="center" vertical="center" wrapText="1"/>
    </xf>
    <xf numFmtId="15" fontId="61" fillId="23" borderId="3" xfId="0" applyNumberFormat="1" applyFont="1" applyFill="1" applyBorder="1" applyAlignment="1">
      <alignment horizontal="center" vertical="center" wrapText="1"/>
    </xf>
    <xf numFmtId="0" fontId="0" fillId="23" borderId="3" xfId="0" applyFill="1" applyBorder="1" applyAlignment="1">
      <alignment horizontal="center" vertical="center"/>
    </xf>
    <xf numFmtId="0" fontId="0" fillId="23" borderId="9" xfId="0" applyFill="1" applyBorder="1" applyAlignment="1">
      <alignment horizontal="center" vertical="center"/>
    </xf>
    <xf numFmtId="0" fontId="99" fillId="23" borderId="3" xfId="0" applyFont="1" applyFill="1" applyBorder="1" applyAlignment="1">
      <alignment horizontal="center" vertical="center" wrapText="1"/>
    </xf>
    <xf numFmtId="1" fontId="0" fillId="23" borderId="3" xfId="0" applyNumberFormat="1" applyFont="1" applyFill="1" applyBorder="1" applyAlignment="1">
      <alignment horizontal="center" vertical="center" wrapText="1"/>
    </xf>
    <xf numFmtId="0" fontId="61" fillId="35" borderId="9" xfId="0" applyFont="1" applyFill="1" applyBorder="1" applyAlignment="1">
      <alignment horizontal="center" vertical="center" wrapText="1"/>
    </xf>
    <xf numFmtId="0" fontId="61" fillId="35" borderId="11" xfId="0" applyFont="1" applyFill="1" applyBorder="1" applyAlignment="1">
      <alignment horizontal="center" vertical="center" wrapText="1"/>
    </xf>
    <xf numFmtId="0" fontId="61" fillId="35" borderId="12" xfId="0" applyFont="1" applyFill="1" applyBorder="1" applyAlignment="1">
      <alignment horizontal="center" vertical="center" wrapText="1"/>
    </xf>
    <xf numFmtId="0" fontId="61" fillId="23" borderId="9" xfId="0" applyFont="1" applyFill="1" applyBorder="1" applyAlignment="1">
      <alignment horizontal="center" vertical="center" wrapText="1"/>
    </xf>
    <xf numFmtId="0" fontId="61" fillId="23" borderId="11" xfId="0" applyFont="1" applyFill="1" applyBorder="1" applyAlignment="1">
      <alignment horizontal="center" vertical="center" wrapText="1"/>
    </xf>
    <xf numFmtId="0" fontId="61" fillId="23" borderId="12" xfId="0" applyFont="1" applyFill="1" applyBorder="1" applyAlignment="1">
      <alignment horizontal="center" vertical="center" wrapText="1"/>
    </xf>
    <xf numFmtId="0" fontId="78" fillId="23" borderId="3" xfId="0" applyFont="1" applyFill="1" applyBorder="1" applyAlignment="1">
      <alignment horizontal="center" vertical="center" wrapText="1"/>
    </xf>
    <xf numFmtId="9" fontId="0" fillId="23" borderId="3" xfId="0" applyNumberFormat="1" applyFill="1" applyBorder="1" applyAlignment="1">
      <alignment horizontal="center" vertical="center" wrapText="1"/>
    </xf>
    <xf numFmtId="9" fontId="61" fillId="23" borderId="3" xfId="0" applyNumberFormat="1" applyFont="1" applyFill="1" applyBorder="1" applyAlignment="1">
      <alignment horizontal="center" vertical="center" wrapText="1"/>
    </xf>
    <xf numFmtId="0" fontId="0" fillId="23" borderId="20" xfId="0" applyFill="1" applyBorder="1" applyAlignment="1">
      <alignment horizontal="center" vertical="center"/>
    </xf>
    <xf numFmtId="15" fontId="61" fillId="23" borderId="3" xfId="0" applyNumberFormat="1" applyFont="1" applyFill="1" applyBorder="1" applyAlignment="1">
      <alignment horizontal="center" vertical="center"/>
    </xf>
    <xf numFmtId="0" fontId="61" fillId="29" borderId="3" xfId="0" applyFont="1" applyFill="1" applyBorder="1" applyAlignment="1">
      <alignment horizontal="center" vertical="center" wrapText="1"/>
    </xf>
    <xf numFmtId="15" fontId="61" fillId="29" borderId="9" xfId="0" applyNumberFormat="1" applyFont="1" applyFill="1" applyBorder="1" applyAlignment="1">
      <alignment horizontal="center" vertical="center"/>
    </xf>
    <xf numFmtId="15" fontId="61" fillId="29" borderId="11" xfId="0" applyNumberFormat="1" applyFont="1" applyFill="1" applyBorder="1" applyAlignment="1">
      <alignment horizontal="center" vertical="center"/>
    </xf>
    <xf numFmtId="15" fontId="61" fillId="29" borderId="12" xfId="0" applyNumberFormat="1" applyFont="1" applyFill="1" applyBorder="1" applyAlignment="1">
      <alignment horizontal="center" vertical="center"/>
    </xf>
    <xf numFmtId="0" fontId="61" fillId="18" borderId="3" xfId="0" applyFont="1" applyFill="1" applyBorder="1" applyAlignment="1">
      <alignment horizontal="center" vertical="center" wrapText="1"/>
    </xf>
    <xf numFmtId="9" fontId="61" fillId="27" borderId="3" xfId="0" applyNumberFormat="1" applyFont="1" applyFill="1" applyBorder="1" applyAlignment="1">
      <alignment horizontal="center" vertical="center" wrapText="1"/>
    </xf>
    <xf numFmtId="0" fontId="61" fillId="29" borderId="9" xfId="0" applyFont="1" applyFill="1" applyBorder="1" applyAlignment="1">
      <alignment horizontal="center" vertical="center" wrapText="1"/>
    </xf>
    <xf numFmtId="0" fontId="61" fillId="29" borderId="12" xfId="0" applyFont="1" applyFill="1" applyBorder="1" applyAlignment="1">
      <alignment horizontal="center" vertical="center" wrapText="1"/>
    </xf>
    <xf numFmtId="9" fontId="61" fillId="23" borderId="3" xfId="0" applyNumberFormat="1" applyFont="1" applyFill="1" applyBorder="1" applyAlignment="1">
      <alignment horizontal="center" vertical="center"/>
    </xf>
    <xf numFmtId="0" fontId="131" fillId="23" borderId="3" xfId="0" applyFont="1" applyFill="1" applyBorder="1" applyAlignment="1">
      <alignment horizontal="center" vertical="center" wrapText="1"/>
    </xf>
    <xf numFmtId="9" fontId="131" fillId="23" borderId="3" xfId="0" applyNumberFormat="1" applyFont="1" applyFill="1" applyBorder="1" applyAlignment="1">
      <alignment horizontal="center" vertical="center" wrapText="1"/>
    </xf>
    <xf numFmtId="0" fontId="130" fillId="23" borderId="3" xfId="0" applyFont="1" applyFill="1" applyBorder="1" applyAlignment="1">
      <alignment horizontal="center" vertical="center" wrapText="1"/>
    </xf>
    <xf numFmtId="0" fontId="2" fillId="35" borderId="3" xfId="0" applyFont="1" applyFill="1" applyBorder="1" applyAlignment="1">
      <alignment horizontal="center" vertical="center" wrapText="1"/>
    </xf>
    <xf numFmtId="0" fontId="2" fillId="27" borderId="3" xfId="0" applyFont="1" applyFill="1" applyBorder="1" applyAlignment="1">
      <alignment horizontal="center" vertical="center" wrapText="1"/>
    </xf>
    <xf numFmtId="9" fontId="2" fillId="27" borderId="3" xfId="0" applyNumberFormat="1" applyFont="1" applyFill="1" applyBorder="1" applyAlignment="1">
      <alignment horizontal="center" vertical="center" wrapText="1"/>
    </xf>
    <xf numFmtId="1" fontId="2" fillId="27" borderId="3" xfId="0" applyNumberFormat="1" applyFont="1" applyFill="1" applyBorder="1" applyAlignment="1">
      <alignment horizontal="center" vertical="center" wrapText="1"/>
    </xf>
    <xf numFmtId="0" fontId="61" fillId="27" borderId="9" xfId="0" applyFont="1" applyFill="1" applyBorder="1" applyAlignment="1">
      <alignment horizontal="center" vertical="center" wrapText="1"/>
    </xf>
    <xf numFmtId="0" fontId="61" fillId="27" borderId="12" xfId="0" applyFont="1" applyFill="1" applyBorder="1" applyAlignment="1">
      <alignment horizontal="center" vertical="center"/>
    </xf>
    <xf numFmtId="0" fontId="132" fillId="23" borderId="3" xfId="0" applyFont="1" applyFill="1" applyBorder="1" applyAlignment="1">
      <alignment horizontal="center" vertical="center" wrapText="1" readingOrder="1"/>
    </xf>
    <xf numFmtId="0" fontId="93" fillId="23" borderId="9" xfId="0" applyFont="1" applyFill="1" applyBorder="1" applyAlignment="1">
      <alignment horizontal="center" vertical="center" readingOrder="1"/>
    </xf>
    <xf numFmtId="0" fontId="93" fillId="23" borderId="11" xfId="0" applyFont="1" applyFill="1" applyBorder="1" applyAlignment="1">
      <alignment horizontal="center" vertical="center" readingOrder="1"/>
    </xf>
    <xf numFmtId="0" fontId="93" fillId="23" borderId="12" xfId="0" applyFont="1" applyFill="1" applyBorder="1" applyAlignment="1">
      <alignment horizontal="center" vertical="center" readingOrder="1"/>
    </xf>
    <xf numFmtId="0" fontId="93" fillId="23" borderId="3" xfId="0" applyFont="1" applyFill="1" applyBorder="1" applyAlignment="1">
      <alignment horizontal="center" vertical="center" wrapText="1" readingOrder="1"/>
    </xf>
    <xf numFmtId="9" fontId="133" fillId="25" borderId="3" xfId="0" applyNumberFormat="1" applyFont="1" applyFill="1" applyBorder="1" applyAlignment="1">
      <alignment horizontal="center" vertical="center" wrapText="1"/>
    </xf>
    <xf numFmtId="9" fontId="134" fillId="25" borderId="3" xfId="0" applyNumberFormat="1" applyFont="1" applyFill="1" applyBorder="1" applyAlignment="1">
      <alignment horizontal="center" vertical="center" wrapText="1"/>
    </xf>
    <xf numFmtId="0" fontId="61" fillId="25" borderId="3" xfId="0" applyFont="1" applyFill="1" applyBorder="1" applyAlignment="1">
      <alignment horizontal="center" vertical="center"/>
    </xf>
    <xf numFmtId="0" fontId="133" fillId="23" borderId="3" xfId="0" applyFont="1" applyFill="1" applyBorder="1" applyAlignment="1">
      <alignment horizontal="center" vertical="center"/>
    </xf>
    <xf numFmtId="0" fontId="133" fillId="23" borderId="3" xfId="0" applyFont="1" applyFill="1" applyBorder="1" applyAlignment="1">
      <alignment horizontal="center" vertical="center" wrapText="1"/>
    </xf>
    <xf numFmtId="0" fontId="61" fillId="25" borderId="3" xfId="0" applyFont="1" applyFill="1" applyBorder="1" applyAlignment="1">
      <alignment horizontal="center" vertical="center" wrapText="1"/>
    </xf>
    <xf numFmtId="0" fontId="78" fillId="25" borderId="3" xfId="0" applyFont="1" applyFill="1" applyBorder="1" applyAlignment="1">
      <alignment horizontal="center" vertical="center" wrapText="1"/>
    </xf>
    <xf numFmtId="0" fontId="2" fillId="25" borderId="3" xfId="0" applyFont="1" applyFill="1" applyBorder="1" applyAlignment="1">
      <alignment horizontal="center" vertical="center" wrapText="1"/>
    </xf>
    <xf numFmtId="0" fontId="93" fillId="25" borderId="3" xfId="0" applyFont="1" applyFill="1" applyBorder="1" applyAlignment="1">
      <alignment horizontal="center" vertical="center" wrapText="1" readingOrder="1"/>
    </xf>
    <xf numFmtId="0" fontId="133" fillId="25" borderId="3" xfId="0" applyFont="1" applyFill="1" applyBorder="1" applyAlignment="1">
      <alignment horizontal="center" vertical="center"/>
    </xf>
    <xf numFmtId="0" fontId="133" fillId="25" borderId="3" xfId="0" applyFont="1" applyFill="1" applyBorder="1" applyAlignment="1">
      <alignment horizontal="center" vertical="center" wrapText="1"/>
    </xf>
    <xf numFmtId="9" fontId="135" fillId="25" borderId="3" xfId="0" applyNumberFormat="1" applyFont="1" applyFill="1" applyBorder="1" applyAlignment="1">
      <alignment horizontal="center" vertical="center"/>
    </xf>
    <xf numFmtId="9" fontId="133" fillId="25" borderId="3" xfId="0" applyNumberFormat="1" applyFont="1" applyFill="1" applyBorder="1" applyAlignment="1">
      <alignment horizontal="center" vertical="center"/>
    </xf>
    <xf numFmtId="0" fontId="135" fillId="25" borderId="3" xfId="0" applyFont="1" applyFill="1" applyBorder="1" applyAlignment="1">
      <alignment horizontal="center" vertical="center"/>
    </xf>
    <xf numFmtId="0" fontId="61" fillId="19" borderId="9" xfId="0" applyFont="1" applyFill="1" applyBorder="1" applyAlignment="1">
      <alignment horizontal="center" vertical="center" wrapText="1"/>
    </xf>
    <xf numFmtId="0" fontId="61" fillId="19" borderId="11" xfId="0" applyFont="1" applyFill="1" applyBorder="1" applyAlignment="1">
      <alignment horizontal="center" vertical="center" wrapText="1"/>
    </xf>
    <xf numFmtId="0" fontId="61" fillId="19" borderId="1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78" fillId="28" borderId="3" xfId="0" applyFont="1" applyFill="1" applyBorder="1" applyAlignment="1">
      <alignment horizontal="center" vertical="center" wrapText="1"/>
    </xf>
    <xf numFmtId="0" fontId="61" fillId="35" borderId="3" xfId="0" applyFont="1" applyFill="1" applyBorder="1" applyAlignment="1">
      <alignment horizontal="center" vertical="center" wrapText="1"/>
    </xf>
    <xf numFmtId="1" fontId="56" fillId="28" borderId="3" xfId="28" applyNumberFormat="1" applyFont="1" applyFill="1" applyBorder="1" applyAlignment="1">
      <alignment horizontal="center" vertical="center" wrapText="1"/>
    </xf>
    <xf numFmtId="0" fontId="0" fillId="28" borderId="3" xfId="0" applyFill="1" applyBorder="1" applyAlignment="1">
      <alignment horizontal="center" vertical="center" wrapText="1"/>
    </xf>
    <xf numFmtId="1" fontId="78" fillId="28" borderId="3" xfId="0" applyNumberFormat="1" applyFont="1" applyFill="1" applyBorder="1" applyAlignment="1">
      <alignment horizontal="center" vertical="center" wrapText="1"/>
    </xf>
    <xf numFmtId="0" fontId="112" fillId="23" borderId="3" xfId="0" applyFont="1" applyFill="1" applyBorder="1" applyAlignment="1">
      <alignment horizontal="center" vertical="center" wrapText="1" readingOrder="1"/>
    </xf>
    <xf numFmtId="1" fontId="2" fillId="28" borderId="3" xfId="0" applyNumberFormat="1" applyFont="1" applyFill="1" applyBorder="1" applyAlignment="1">
      <alignment horizontal="center" vertical="center" wrapText="1"/>
    </xf>
    <xf numFmtId="0" fontId="61" fillId="28" borderId="9" xfId="0" applyFont="1" applyFill="1" applyBorder="1" applyAlignment="1">
      <alignment horizontal="center" vertical="center" wrapText="1"/>
    </xf>
    <xf numFmtId="0" fontId="61" fillId="28" borderId="11" xfId="0" applyFont="1" applyFill="1" applyBorder="1" applyAlignment="1">
      <alignment horizontal="center" vertical="center" wrapText="1"/>
    </xf>
    <xf numFmtId="0" fontId="61" fillId="28" borderId="12" xfId="0" applyFont="1" applyFill="1" applyBorder="1" applyAlignment="1">
      <alignment horizontal="center" vertical="center" wrapText="1"/>
    </xf>
    <xf numFmtId="0" fontId="2" fillId="28" borderId="9" xfId="0" applyFont="1" applyFill="1" applyBorder="1" applyAlignment="1">
      <alignment horizontal="center" vertical="center" wrapText="1"/>
    </xf>
    <xf numFmtId="0" fontId="2" fillId="28" borderId="12" xfId="0" applyFont="1" applyFill="1" applyBorder="1" applyAlignment="1">
      <alignment horizontal="center" vertical="center" wrapText="1"/>
    </xf>
    <xf numFmtId="9" fontId="69" fillId="23" borderId="3" xfId="0" applyNumberFormat="1" applyFont="1" applyFill="1" applyBorder="1" applyAlignment="1">
      <alignment horizontal="left" vertical="center" wrapText="1"/>
    </xf>
    <xf numFmtId="1" fontId="2" fillId="23" borderId="9" xfId="0" applyNumberFormat="1" applyFont="1" applyFill="1" applyBorder="1" applyAlignment="1">
      <alignment horizontal="center" vertical="center" wrapText="1"/>
    </xf>
    <xf numFmtId="1" fontId="2" fillId="23" borderId="11" xfId="0" applyNumberFormat="1" applyFont="1" applyFill="1" applyBorder="1" applyAlignment="1">
      <alignment horizontal="center" vertical="center" wrapText="1"/>
    </xf>
    <xf numFmtId="1" fontId="2" fillId="23" borderId="12" xfId="0" applyNumberFormat="1" applyFont="1" applyFill="1" applyBorder="1" applyAlignment="1">
      <alignment horizontal="center" vertical="center" wrapText="1"/>
    </xf>
    <xf numFmtId="0" fontId="0" fillId="23" borderId="3" xfId="0" applyFill="1" applyBorder="1" applyAlignment="1">
      <alignment horizontal="center" vertical="center" wrapText="1"/>
    </xf>
    <xf numFmtId="1" fontId="78" fillId="23" borderId="9" xfId="0" applyNumberFormat="1" applyFont="1" applyFill="1" applyBorder="1" applyAlignment="1">
      <alignment horizontal="center" vertical="center" wrapText="1"/>
    </xf>
    <xf numFmtId="1" fontId="78" fillId="23" borderId="12" xfId="0" applyNumberFormat="1" applyFont="1" applyFill="1" applyBorder="1" applyAlignment="1">
      <alignment horizontal="center" vertical="center" wrapText="1"/>
    </xf>
    <xf numFmtId="1" fontId="78" fillId="23" borderId="3" xfId="0" applyNumberFormat="1" applyFont="1" applyFill="1" applyBorder="1" applyAlignment="1">
      <alignment horizontal="center" vertical="center" wrapText="1"/>
    </xf>
    <xf numFmtId="0" fontId="2" fillId="18" borderId="3" xfId="0" applyFont="1" applyFill="1" applyBorder="1" applyAlignment="1">
      <alignment horizontal="center" vertical="center" wrapText="1"/>
    </xf>
    <xf numFmtId="0" fontId="83" fillId="28" borderId="35" xfId="0" applyFont="1" applyFill="1" applyBorder="1" applyAlignment="1">
      <alignment horizontal="left" vertical="center" wrapText="1"/>
    </xf>
    <xf numFmtId="0" fontId="83" fillId="28" borderId="16" xfId="0" applyFont="1" applyFill="1" applyBorder="1" applyAlignment="1">
      <alignment horizontal="left" vertical="center" wrapText="1"/>
    </xf>
    <xf numFmtId="0" fontId="83" fillId="28" borderId="19" xfId="0" applyFont="1" applyFill="1" applyBorder="1" applyAlignment="1">
      <alignment horizontal="left" vertical="center" wrapText="1"/>
    </xf>
    <xf numFmtId="0" fontId="61" fillId="28" borderId="65" xfId="0" applyFont="1" applyFill="1" applyBorder="1" applyAlignment="1">
      <alignment horizontal="center" vertical="center" wrapText="1"/>
    </xf>
    <xf numFmtId="0" fontId="61" fillId="28" borderId="22" xfId="0" applyFont="1" applyFill="1" applyBorder="1" applyAlignment="1">
      <alignment horizontal="center" vertical="center" wrapText="1"/>
    </xf>
    <xf numFmtId="0" fontId="61" fillId="28" borderId="13" xfId="0" applyFont="1" applyFill="1" applyBorder="1" applyAlignment="1">
      <alignment horizontal="center" vertical="center" wrapText="1"/>
    </xf>
    <xf numFmtId="0" fontId="42" fillId="28" borderId="35" xfId="0" applyFont="1" applyFill="1" applyBorder="1" applyAlignment="1">
      <alignment horizontal="left" vertical="center" wrapText="1"/>
    </xf>
    <xf numFmtId="0" fontId="42" fillId="28" borderId="19" xfId="0" applyFont="1" applyFill="1" applyBorder="1" applyAlignment="1">
      <alignment horizontal="left" vertical="center" wrapText="1"/>
    </xf>
    <xf numFmtId="0" fontId="2" fillId="28" borderId="65"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3" xfId="0" applyFont="1" applyFill="1" applyBorder="1" applyAlignment="1">
      <alignment horizontal="left" wrapText="1"/>
    </xf>
    <xf numFmtId="9" fontId="2" fillId="28" borderId="3" xfId="0" applyNumberFormat="1" applyFont="1" applyFill="1" applyBorder="1" applyAlignment="1">
      <alignment horizontal="center" vertical="center" wrapText="1"/>
    </xf>
    <xf numFmtId="0" fontId="0" fillId="18" borderId="3" xfId="0" applyFill="1" applyBorder="1" applyAlignment="1">
      <alignment horizontal="center" vertical="center" wrapText="1"/>
    </xf>
    <xf numFmtId="9" fontId="2" fillId="23" borderId="3" xfId="0" applyNumberFormat="1" applyFont="1" applyFill="1" applyBorder="1" applyAlignment="1">
      <alignment horizontal="center" vertical="center" wrapText="1"/>
    </xf>
    <xf numFmtId="9" fontId="2" fillId="23" borderId="3" xfId="0" applyNumberFormat="1" applyFont="1" applyFill="1" applyBorder="1" applyAlignment="1">
      <alignment horizontal="left" vertical="center" wrapText="1"/>
    </xf>
    <xf numFmtId="9" fontId="61" fillId="23" borderId="9" xfId="0" applyNumberFormat="1" applyFont="1" applyFill="1" applyBorder="1" applyAlignment="1">
      <alignment horizontal="center" vertical="center" wrapText="1"/>
    </xf>
    <xf numFmtId="9" fontId="61" fillId="23" borderId="11" xfId="0" applyNumberFormat="1" applyFont="1" applyFill="1" applyBorder="1" applyAlignment="1">
      <alignment horizontal="center" vertical="center" wrapText="1"/>
    </xf>
    <xf numFmtId="9" fontId="61" fillId="23" borderId="12" xfId="0" applyNumberFormat="1" applyFont="1" applyFill="1" applyBorder="1" applyAlignment="1">
      <alignment horizontal="center" vertical="center" wrapText="1"/>
    </xf>
    <xf numFmtId="0" fontId="2" fillId="28" borderId="11" xfId="0" applyFont="1" applyFill="1" applyBorder="1" applyAlignment="1">
      <alignment horizontal="center" vertical="center" wrapText="1"/>
    </xf>
    <xf numFmtId="0" fontId="136" fillId="28" borderId="3" xfId="0" applyFont="1" applyFill="1" applyBorder="1" applyAlignment="1">
      <alignment horizontal="center" vertical="center" wrapText="1" readingOrder="1"/>
    </xf>
    <xf numFmtId="0" fontId="61" fillId="23" borderId="48" xfId="0" applyFont="1" applyFill="1" applyBorder="1" applyAlignment="1">
      <alignment horizontal="center" vertical="center"/>
    </xf>
    <xf numFmtId="0" fontId="61" fillId="23" borderId="57" xfId="0" applyFont="1" applyFill="1" applyBorder="1" applyAlignment="1">
      <alignment horizontal="center" vertical="center"/>
    </xf>
    <xf numFmtId="0" fontId="61" fillId="19" borderId="9" xfId="0" applyFont="1" applyFill="1" applyBorder="1" applyAlignment="1">
      <alignment horizontal="center" vertical="center"/>
    </xf>
    <xf numFmtId="0" fontId="61" fillId="19" borderId="11" xfId="0" applyFont="1" applyFill="1" applyBorder="1" applyAlignment="1">
      <alignment horizontal="center" vertical="center"/>
    </xf>
    <xf numFmtId="0" fontId="61" fillId="19" borderId="12" xfId="0" applyFont="1" applyFill="1" applyBorder="1" applyAlignment="1">
      <alignment horizontal="center" vertical="center"/>
    </xf>
    <xf numFmtId="0" fontId="0" fillId="42" borderId="9" xfId="0" applyFill="1" applyBorder="1" applyAlignment="1">
      <alignment horizontal="center" vertical="center"/>
    </xf>
    <xf numFmtId="0" fontId="0" fillId="42" borderId="11" xfId="0" applyFill="1" applyBorder="1" applyAlignment="1">
      <alignment horizontal="center" vertical="center"/>
    </xf>
    <xf numFmtId="0" fontId="0" fillId="42" borderId="12" xfId="0" applyFill="1" applyBorder="1" applyAlignment="1">
      <alignment horizontal="center" vertical="center"/>
    </xf>
    <xf numFmtId="0" fontId="129" fillId="5" borderId="227" xfId="7" applyFont="1" applyBorder="1" applyAlignment="1">
      <alignment horizontal="center" vertical="center" wrapText="1"/>
    </xf>
    <xf numFmtId="0" fontId="61" fillId="31" borderId="3" xfId="0" applyFont="1" applyFill="1" applyBorder="1" applyAlignment="1">
      <alignment horizontal="center" vertical="center" wrapText="1"/>
    </xf>
    <xf numFmtId="0" fontId="2" fillId="31" borderId="3" xfId="0" applyFont="1" applyFill="1" applyBorder="1" applyAlignment="1" applyProtection="1">
      <alignment horizontal="center" vertical="center" wrapText="1"/>
    </xf>
    <xf numFmtId="9" fontId="61" fillId="31" borderId="3" xfId="0" applyNumberFormat="1" applyFont="1" applyFill="1" applyBorder="1" applyAlignment="1" applyProtection="1">
      <alignment horizontal="center" vertical="center" wrapText="1"/>
    </xf>
    <xf numFmtId="0" fontId="61" fillId="31" borderId="3" xfId="0" applyFont="1" applyFill="1" applyBorder="1" applyAlignment="1" applyProtection="1">
      <alignment horizontal="center" vertical="center" wrapText="1"/>
    </xf>
    <xf numFmtId="0" fontId="61" fillId="30" borderId="3" xfId="0" applyFont="1" applyFill="1" applyBorder="1" applyAlignment="1">
      <alignment horizontal="center" vertical="center" wrapText="1"/>
    </xf>
    <xf numFmtId="0" fontId="2" fillId="30" borderId="3" xfId="0" applyFont="1" applyFill="1" applyBorder="1" applyAlignment="1">
      <alignment horizontal="center" vertical="center" wrapText="1"/>
    </xf>
    <xf numFmtId="1" fontId="2" fillId="30" borderId="3" xfId="28" applyNumberFormat="1" applyFont="1" applyFill="1" applyBorder="1" applyAlignment="1">
      <alignment horizontal="center" vertical="center" wrapText="1"/>
    </xf>
    <xf numFmtId="9" fontId="2" fillId="30" borderId="3" xfId="0" applyNumberFormat="1" applyFont="1" applyFill="1" applyBorder="1" applyAlignment="1">
      <alignment horizontal="center" vertical="center" wrapText="1"/>
    </xf>
    <xf numFmtId="0" fontId="0" fillId="42" borderId="3" xfId="0" applyFill="1" applyBorder="1" applyAlignment="1">
      <alignment horizontal="center" vertical="center"/>
    </xf>
    <xf numFmtId="0" fontId="84" fillId="28" borderId="35" xfId="0" applyFont="1" applyFill="1" applyBorder="1" applyAlignment="1">
      <alignment horizontal="left" vertical="center" wrapText="1" readingOrder="1"/>
    </xf>
    <xf numFmtId="0" fontId="84" fillId="28" borderId="16" xfId="0" applyFont="1" applyFill="1" applyBorder="1" applyAlignment="1">
      <alignment horizontal="left" vertical="center" wrapText="1" readingOrder="1"/>
    </xf>
    <xf numFmtId="0" fontId="134" fillId="25" borderId="3" xfId="0" applyFont="1" applyFill="1" applyBorder="1" applyAlignment="1">
      <alignment horizontal="center" vertical="center" wrapText="1"/>
    </xf>
    <xf numFmtId="0" fontId="61" fillId="25" borderId="9" xfId="0" applyFont="1" applyFill="1" applyBorder="1" applyAlignment="1">
      <alignment horizontal="center" vertical="center" wrapText="1"/>
    </xf>
    <xf numFmtId="0" fontId="61" fillId="25" borderId="12" xfId="0" applyFont="1" applyFill="1" applyBorder="1" applyAlignment="1">
      <alignment horizontal="center" vertical="center" wrapText="1"/>
    </xf>
    <xf numFmtId="0" fontId="137" fillId="0" borderId="0" xfId="0" applyFont="1" applyAlignment="1">
      <alignment horizontal="left" vertical="center" wrapText="1"/>
    </xf>
    <xf numFmtId="0" fontId="138" fillId="43" borderId="15" xfId="0" applyFont="1" applyFill="1" applyBorder="1" applyAlignment="1">
      <alignment horizontal="center"/>
    </xf>
    <xf numFmtId="0" fontId="138" fillId="43" borderId="64" xfId="0" applyFont="1" applyFill="1" applyBorder="1" applyAlignment="1">
      <alignment horizontal="center"/>
    </xf>
    <xf numFmtId="0" fontId="138" fillId="43" borderId="20" xfId="0" applyFont="1" applyFill="1" applyBorder="1" applyAlignment="1">
      <alignment horizontal="center"/>
    </xf>
    <xf numFmtId="0" fontId="0" fillId="13" borderId="3" xfId="0" applyFill="1" applyBorder="1" applyAlignment="1">
      <alignment horizontal="center" vertical="center"/>
    </xf>
    <xf numFmtId="0" fontId="0" fillId="0" borderId="15" xfId="0" applyBorder="1" applyAlignment="1">
      <alignment horizontal="center" vertical="center"/>
    </xf>
    <xf numFmtId="0" fontId="68" fillId="5" borderId="97" xfId="7" applyFont="1" applyBorder="1" applyAlignment="1">
      <alignment horizontal="center"/>
    </xf>
    <xf numFmtId="0" fontId="0" fillId="0" borderId="15" xfId="0" applyBorder="1" applyAlignment="1">
      <alignment horizontal="center" vertical="center" wrapText="1"/>
    </xf>
    <xf numFmtId="0" fontId="0" fillId="0" borderId="65" xfId="0" applyBorder="1" applyAlignment="1">
      <alignment horizontal="center" vertical="center"/>
    </xf>
    <xf numFmtId="0" fontId="0" fillId="0" borderId="22" xfId="0" applyBorder="1" applyAlignment="1">
      <alignment horizontal="center" vertical="center"/>
    </xf>
    <xf numFmtId="0" fontId="0" fillId="0" borderId="13" xfId="0" applyBorder="1" applyAlignment="1">
      <alignment horizontal="center" vertical="center"/>
    </xf>
    <xf numFmtId="0" fontId="2" fillId="22" borderId="9" xfId="19" applyFont="1" applyFill="1" applyBorder="1" applyAlignment="1">
      <alignment wrapText="1"/>
    </xf>
    <xf numFmtId="0" fontId="2" fillId="22" borderId="11" xfId="19" applyFont="1" applyFill="1" applyBorder="1" applyAlignment="1">
      <alignment wrapText="1"/>
    </xf>
    <xf numFmtId="0" fontId="2" fillId="22" borderId="12" xfId="19" applyFont="1" applyFill="1" applyBorder="1" applyAlignment="1">
      <alignment wrapText="1"/>
    </xf>
    <xf numFmtId="0" fontId="2" fillId="22" borderId="9" xfId="19" applyFont="1" applyFill="1" applyBorder="1" applyAlignment="1">
      <alignment horizontal="center" wrapText="1"/>
    </xf>
    <xf numFmtId="0" fontId="2" fillId="22" borderId="11" xfId="19" applyFont="1" applyFill="1" applyBorder="1" applyAlignment="1">
      <alignment horizontal="center" wrapText="1"/>
    </xf>
    <xf numFmtId="0" fontId="2" fillId="22" borderId="12" xfId="19" applyFont="1" applyFill="1" applyBorder="1" applyAlignment="1">
      <alignment horizontal="center" wrapText="1"/>
    </xf>
    <xf numFmtId="0" fontId="2" fillId="22" borderId="9" xfId="27" applyFont="1" applyFill="1" applyBorder="1" applyAlignment="1">
      <alignment horizontal="center" wrapText="1"/>
    </xf>
    <xf numFmtId="0" fontId="2" fillId="22" borderId="11" xfId="27" applyFont="1" applyFill="1" applyBorder="1" applyAlignment="1">
      <alignment horizontal="center" wrapText="1"/>
    </xf>
    <xf numFmtId="0" fontId="2" fillId="22" borderId="12" xfId="27" applyFont="1" applyFill="1" applyBorder="1" applyAlignment="1">
      <alignment horizontal="center" wrapText="1"/>
    </xf>
    <xf numFmtId="0" fontId="2" fillId="22" borderId="89" xfId="27" applyFont="1" applyFill="1" applyBorder="1" applyAlignment="1">
      <alignment horizontal="center" wrapText="1"/>
    </xf>
    <xf numFmtId="0" fontId="139" fillId="5" borderId="15" xfId="7" applyFont="1" applyBorder="1" applyAlignment="1">
      <alignment horizontal="center"/>
    </xf>
    <xf numFmtId="0" fontId="139" fillId="5" borderId="64" xfId="7" applyFont="1" applyBorder="1" applyAlignment="1">
      <alignment horizontal="center"/>
    </xf>
    <xf numFmtId="0" fontId="139" fillId="5" borderId="20" xfId="7" applyFont="1" applyBorder="1" applyAlignment="1">
      <alignment horizontal="center"/>
    </xf>
    <xf numFmtId="0" fontId="72" fillId="6" borderId="15" xfId="1" applyFont="1" applyBorder="1" applyAlignment="1">
      <alignment horizontal="center" vertical="center"/>
    </xf>
    <xf numFmtId="0" fontId="72" fillId="6" borderId="20" xfId="1" applyFont="1" applyBorder="1" applyAlignment="1">
      <alignment horizontal="center" vertical="center"/>
    </xf>
    <xf numFmtId="0" fontId="86" fillId="18" borderId="276" xfId="0" applyFont="1" applyFill="1" applyBorder="1" applyAlignment="1">
      <alignment horizontal="center" vertical="center" wrapText="1"/>
    </xf>
    <xf numFmtId="0" fontId="0" fillId="18" borderId="276" xfId="0" applyFill="1" applyBorder="1" applyAlignment="1">
      <alignment horizontal="center" vertical="center" wrapText="1"/>
    </xf>
    <xf numFmtId="0" fontId="0" fillId="18" borderId="276" xfId="0" applyFont="1" applyFill="1" applyBorder="1" applyAlignment="1">
      <alignment horizontal="center" vertical="center" wrapText="1"/>
    </xf>
    <xf numFmtId="10" fontId="137" fillId="25" borderId="0" xfId="0" applyNumberFormat="1" applyFont="1" applyFill="1" applyBorder="1" applyAlignment="1">
      <alignment horizontal="center" vertical="center"/>
    </xf>
    <xf numFmtId="10" fontId="140" fillId="25" borderId="221" xfId="3" applyNumberFormat="1" applyFont="1" applyFill="1" applyBorder="1" applyAlignment="1">
      <alignment horizontal="center" vertical="center"/>
    </xf>
    <xf numFmtId="0" fontId="75" fillId="0" borderId="0" xfId="0" applyFont="1" applyAlignment="1">
      <alignment vertical="center" wrapText="1"/>
    </xf>
    <xf numFmtId="0" fontId="75" fillId="0" borderId="0" xfId="0" applyFont="1" applyAlignment="1">
      <alignment horizontal="left" vertical="center" wrapText="1"/>
    </xf>
    <xf numFmtId="0" fontId="21" fillId="0" borderId="0" xfId="0" applyFont="1" applyAlignment="1">
      <alignment horizontal="left" vertical="center" wrapText="1"/>
    </xf>
  </cellXfs>
  <cellStyles count="31">
    <cellStyle name="20% - Énfasis5" xfId="1" builtinId="46"/>
    <cellStyle name="40% - Énfasis5" xfId="2" builtinId="47"/>
    <cellStyle name="60% - Énfasis5" xfId="3" builtinId="48"/>
    <cellStyle name="60% - Énfasis6 2" xfId="4"/>
    <cellStyle name="Buena" xfId="5" builtinId="26"/>
    <cellStyle name="Énfasis1" xfId="6" builtinId="29"/>
    <cellStyle name="Énfasis5" xfId="7" builtinId="45"/>
    <cellStyle name="Hipervínculo" xfId="8" builtinId="8"/>
    <cellStyle name="Hipervínculo 4" xfId="9"/>
    <cellStyle name="Millares" xfId="10" builtinId="3"/>
    <cellStyle name="Millares 11" xfId="11"/>
    <cellStyle name="Millares 2" xfId="12"/>
    <cellStyle name="Millares 3" xfId="13"/>
    <cellStyle name="Millares 3 2" xfId="14"/>
    <cellStyle name="Millares 4" xfId="15"/>
    <cellStyle name="Millares 8" xfId="16"/>
    <cellStyle name="Moneda 2" xfId="17"/>
    <cellStyle name="Neutral 2" xfId="18"/>
    <cellStyle name="Normal" xfId="0" builtinId="0"/>
    <cellStyle name="Normal 2 2" xfId="19"/>
    <cellStyle name="Normal 2 2 2" xfId="20"/>
    <cellStyle name="Normal 22" xfId="21"/>
    <cellStyle name="Normal 3" xfId="22"/>
    <cellStyle name="Normal 3 2" xfId="23"/>
    <cellStyle name="Normal 4 3" xfId="24"/>
    <cellStyle name="Normal 6" xfId="25"/>
    <cellStyle name="Normal_2005" xfId="26"/>
    <cellStyle name="Normal_cronograma JUNIO 30 2" xfId="27"/>
    <cellStyle name="Porcentaje" xfId="28" builtinId="5"/>
    <cellStyle name="Porcentaje 2 3" xfId="29"/>
    <cellStyle name="Porcentual 2"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gif"/><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gif"/><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pn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2</xdr:col>
      <xdr:colOff>219075</xdr:colOff>
      <xdr:row>1</xdr:row>
      <xdr:rowOff>19050</xdr:rowOff>
    </xdr:from>
    <xdr:to>
      <xdr:col>2</xdr:col>
      <xdr:colOff>628650</xdr:colOff>
      <xdr:row>1</xdr:row>
      <xdr:rowOff>438150</xdr:rowOff>
    </xdr:to>
    <xdr:pic>
      <xdr:nvPicPr>
        <xdr:cNvPr id="39937" name="5 Imagen" descr="Logo impresos copia.jpg">
          <a:extLst>
            <a:ext uri="{FF2B5EF4-FFF2-40B4-BE49-F238E27FC236}">
              <a16:creationId xmlns="" xmlns:a16="http://schemas.microsoft.com/office/drawing/2014/main" id="{5EA1C819-1403-427A-A92F-F5A094B5E8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7620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1</xdr:row>
      <xdr:rowOff>28575</xdr:rowOff>
    </xdr:from>
    <xdr:to>
      <xdr:col>15</xdr:col>
      <xdr:colOff>314325</xdr:colOff>
      <xdr:row>38</xdr:row>
      <xdr:rowOff>85725</xdr:rowOff>
    </xdr:to>
    <xdr:pic>
      <xdr:nvPicPr>
        <xdr:cNvPr id="41985" name="Imagen 2">
          <a:extLst>
            <a:ext uri="{FF2B5EF4-FFF2-40B4-BE49-F238E27FC236}">
              <a16:creationId xmlns="" xmlns:a16="http://schemas.microsoft.com/office/drawing/2014/main" id="{17B0D2D7-2F08-4EEA-BCD9-EC169B8EF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318" t="16022" r="26398" b="14897"/>
        <a:stretch>
          <a:fillRect/>
        </a:stretch>
      </xdr:blipFill>
      <xdr:spPr bwMode="auto">
        <a:xfrm>
          <a:off x="3829050" y="219075"/>
          <a:ext cx="7915275" cy="710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57150</xdr:colOff>
      <xdr:row>3</xdr:row>
      <xdr:rowOff>214312</xdr:rowOff>
    </xdr:from>
    <xdr:ext cx="2257088" cy="9575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 xmlns:a16="http://schemas.microsoft.com/office/drawing/2014/main" id="{00000000-0008-0000-0100-000002000000}"/>
                </a:ext>
              </a:extLst>
            </xdr:cNvPr>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995116" cy="10817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0000000-0008-0000-0100-000003000000}"/>
                </a:ext>
              </a:extLst>
            </xdr:cNvPr>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3824035" cy="95757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00000000-0008-0000-0100-000004000000}"/>
                </a:ext>
              </a:extLst>
            </xdr:cNvPr>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28575</xdr:colOff>
      <xdr:row>6</xdr:row>
      <xdr:rowOff>300037</xdr:rowOff>
    </xdr:from>
    <xdr:ext cx="3699628" cy="9614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00000000-0008-0000-0100-000005000000}"/>
                </a:ext>
              </a:extLst>
            </xdr:cNvPr>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57150</xdr:colOff>
      <xdr:row>7</xdr:row>
      <xdr:rowOff>681037</xdr:rowOff>
    </xdr:from>
    <xdr:ext cx="4767055" cy="1106553"/>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00000000-0008-0000-0100-000006000000}"/>
                </a:ext>
              </a:extLst>
            </xdr:cNvPr>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2886075</xdr:colOff>
      <xdr:row>9</xdr:row>
      <xdr:rowOff>0</xdr:rowOff>
    </xdr:from>
    <xdr:to>
      <xdr:col>4</xdr:col>
      <xdr:colOff>1038225</xdr:colOff>
      <xdr:row>15204</xdr:row>
      <xdr:rowOff>161925</xdr:rowOff>
    </xdr:to>
    <xdr:grpSp>
      <xdr:nvGrpSpPr>
        <xdr:cNvPr id="43014" name="Grupo 6">
          <a:extLst>
            <a:ext uri="{FF2B5EF4-FFF2-40B4-BE49-F238E27FC236}">
              <a16:creationId xmlns="" xmlns:a16="http://schemas.microsoft.com/office/drawing/2014/main" id="{1B2DEB46-5511-4107-A9BD-907E4DE2C077}"/>
            </a:ext>
          </a:extLst>
        </xdr:cNvPr>
        <xdr:cNvGrpSpPr>
          <a:grpSpLocks/>
        </xdr:cNvGrpSpPr>
      </xdr:nvGrpSpPr>
      <xdr:grpSpPr bwMode="auto">
        <a:xfrm>
          <a:off x="6286500" y="8201025"/>
          <a:ext cx="1666875" cy="2904105825"/>
          <a:chOff x="4876990" y="7777162"/>
          <a:chExt cx="945364" cy="304893"/>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00000000-0008-0000-0100-000008000000}"/>
                  </a:ext>
                </a:extLst>
              </xdr:cNvPr>
              <xdr:cNvSpPr txBox="1"/>
            </xdr:nvSpPr>
            <xdr:spPr>
              <a:xfrm>
                <a:off x="4887794" y="7777162"/>
                <a:ext cx="858931"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4887794" y="7777162"/>
                <a:ext cx="858931"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00000000-0008-0000-0100-000009000000}"/>
                  </a:ext>
                </a:extLst>
              </xdr:cNvPr>
              <xdr:cNvSpPr txBox="1"/>
            </xdr:nvSpPr>
            <xdr:spPr>
              <a:xfrm>
                <a:off x="4876990" y="7777162"/>
                <a:ext cx="707672"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4876990" y="7777162"/>
                <a:ext cx="707672"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00000000-0008-0000-0100-00000A000000}"/>
                  </a:ext>
                </a:extLst>
              </xdr:cNvPr>
              <xdr:cNvSpPr txBox="1"/>
            </xdr:nvSpPr>
            <xdr:spPr>
              <a:xfrm>
                <a:off x="4887794" y="8081962"/>
                <a:ext cx="934560"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4887794" y="8081962"/>
                <a:ext cx="934560"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3344495" cy="9543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 xmlns:a16="http://schemas.microsoft.com/office/drawing/2014/main" id="{00000000-0008-0000-0100-00000B000000}"/>
                </a:ext>
              </a:extLst>
            </xdr:cNvPr>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28575</xdr:colOff>
      <xdr:row>11</xdr:row>
      <xdr:rowOff>76200</xdr:rowOff>
    </xdr:from>
    <xdr:to>
      <xdr:col>3</xdr:col>
      <xdr:colOff>3429000</xdr:colOff>
      <xdr:row>11</xdr:row>
      <xdr:rowOff>781050</xdr:rowOff>
    </xdr:to>
    <xdr:grpSp>
      <xdr:nvGrpSpPr>
        <xdr:cNvPr id="43016" name="Grupo 11">
          <a:extLst>
            <a:ext uri="{FF2B5EF4-FFF2-40B4-BE49-F238E27FC236}">
              <a16:creationId xmlns="" xmlns:a16="http://schemas.microsoft.com/office/drawing/2014/main" id="{2F334031-64C0-4B5A-845C-62E8AD2F752D}"/>
            </a:ext>
          </a:extLst>
        </xdr:cNvPr>
        <xdr:cNvGrpSpPr>
          <a:grpSpLocks/>
        </xdr:cNvGrpSpPr>
      </xdr:nvGrpSpPr>
      <xdr:grpSpPr bwMode="auto">
        <a:xfrm>
          <a:off x="3429000" y="10753725"/>
          <a:ext cx="3400425" cy="704850"/>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 xmlns:a16="http://schemas.microsoft.com/office/drawing/2014/main" id="{00000000-0008-0000-0100-00000D000000}"/>
                  </a:ext>
                </a:extLst>
              </xdr:cNvPr>
              <xdr:cNvSpPr txBox="1"/>
            </xdr:nvSpPr>
            <xdr:spPr>
              <a:xfrm>
                <a:off x="4819182" y="10982325"/>
                <a:ext cx="1152993" cy="316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4819182" y="10982325"/>
                <a:ext cx="1152993" cy="316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00000000-0008-0000-0100-00000E000000}"/>
                  </a:ext>
                </a:extLst>
              </xdr:cNvPr>
              <xdr:cNvSpPr txBox="1"/>
            </xdr:nvSpPr>
            <xdr:spPr>
              <a:xfrm>
                <a:off x="4819182" y="11377930"/>
                <a:ext cx="1152993" cy="336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4819182" y="11377930"/>
                <a:ext cx="1152993" cy="336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660474" cy="96162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00000000-0008-0000-0100-00000F000000}"/>
                </a:ext>
              </a:extLst>
            </xdr:cNvPr>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2706794" cy="959877"/>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00000000-0008-0000-0100-000010000000}"/>
                </a:ext>
              </a:extLst>
            </xdr:cNvPr>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3427733" cy="95757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 xmlns:a16="http://schemas.microsoft.com/office/drawing/2014/main" id="{00000000-0008-0000-0100-000011000000}"/>
                </a:ext>
              </a:extLst>
            </xdr:cNvPr>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2"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00000000-0008-0000-0100-000012000000}"/>
                </a:ext>
              </a:extLst>
            </xdr:cNvPr>
            <xdr:cNvSpPr txBox="1"/>
          </xdr:nvSpPr>
          <xdr:spPr>
            <a:xfrm>
              <a:off x="3514725" y="15825787"/>
              <a:ext cx="249177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3514725" y="15825787"/>
              <a:ext cx="249177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3462523" cy="95757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00000000-0008-0000-0100-000013000000}"/>
                </a:ext>
              </a:extLst>
            </xdr:cNvPr>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490537</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 xmlns:a16="http://schemas.microsoft.com/office/drawing/2014/main" id="{00000000-0008-0000-0100-000014000000}"/>
                </a:ext>
              </a:extLst>
            </xdr:cNvPr>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3274546" cy="945258"/>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 xmlns:a16="http://schemas.microsoft.com/office/drawing/2014/main" id="{00000000-0008-0000-0100-000015000000}"/>
                </a:ext>
              </a:extLst>
            </xdr:cNvPr>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2364849" cy="9543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 xmlns:a16="http://schemas.microsoft.com/office/drawing/2014/main" id="{00000000-0008-0000-0100-000016000000}"/>
                </a:ext>
              </a:extLst>
            </xdr:cNvPr>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2244478" cy="9543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 xmlns:a16="http://schemas.microsoft.com/office/drawing/2014/main" id="{00000000-0008-0000-0100-000017000000}"/>
                </a:ext>
              </a:extLst>
            </xdr:cNvPr>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2356662" cy="9543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00000000-0008-0000-0100-000018000000}"/>
                </a:ext>
              </a:extLst>
            </xdr:cNvPr>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1"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00000000-0008-0000-0100-000019000000}"/>
                </a:ext>
              </a:extLst>
            </xdr:cNvPr>
            <xdr:cNvSpPr txBox="1"/>
          </xdr:nvSpPr>
          <xdr:spPr>
            <a:xfrm>
              <a:off x="3514725" y="765091"/>
              <a:ext cx="179376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514725" y="765091"/>
              <a:ext cx="179376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1924050</xdr:colOff>
      <xdr:row>9</xdr:row>
      <xdr:rowOff>361950</xdr:rowOff>
    </xdr:to>
    <xdr:grpSp>
      <xdr:nvGrpSpPr>
        <xdr:cNvPr id="43028" name="Grupo 25">
          <a:extLst>
            <a:ext uri="{FF2B5EF4-FFF2-40B4-BE49-F238E27FC236}">
              <a16:creationId xmlns="" xmlns:a16="http://schemas.microsoft.com/office/drawing/2014/main" id="{DA4D51C9-408E-41A4-BBC1-3925063A7F81}"/>
            </a:ext>
          </a:extLst>
        </xdr:cNvPr>
        <xdr:cNvGrpSpPr>
          <a:grpSpLocks/>
        </xdr:cNvGrpSpPr>
      </xdr:nvGrpSpPr>
      <xdr:grpSpPr bwMode="auto">
        <a:xfrm>
          <a:off x="3667125" y="7372350"/>
          <a:ext cx="1657350" cy="1190625"/>
          <a:chOff x="4877270" y="7777162"/>
          <a:chExt cx="1658886" cy="1185298"/>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00000000-0008-0000-0100-00001B000000}"/>
                  </a:ext>
                </a:extLst>
              </xdr:cNvPr>
              <xdr:cNvSpPr txBox="1"/>
            </xdr:nvSpPr>
            <xdr:spPr>
              <a:xfrm>
                <a:off x="4886804" y="7928880"/>
                <a:ext cx="1515879"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4886804" y="7928880"/>
                <a:ext cx="1515879"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 xmlns:a16="http://schemas.microsoft.com/office/drawing/2014/main" id="{00000000-0008-0000-0100-00001C000000}"/>
                  </a:ext>
                </a:extLst>
              </xdr:cNvPr>
              <xdr:cNvSpPr txBox="1"/>
            </xdr:nvSpPr>
            <xdr:spPr>
              <a:xfrm>
                <a:off x="4877270" y="7777162"/>
                <a:ext cx="1248931"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4877270" y="7777162"/>
                <a:ext cx="1248931"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00000000-0008-0000-0100-00001D000000}"/>
                  </a:ext>
                </a:extLst>
              </xdr:cNvPr>
              <xdr:cNvSpPr txBox="1"/>
            </xdr:nvSpPr>
            <xdr:spPr>
              <a:xfrm>
                <a:off x="4886804" y="8080598"/>
                <a:ext cx="1649352"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4886804" y="8080598"/>
                <a:ext cx="1649352"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428625</xdr:colOff>
      <xdr:row>0</xdr:row>
      <xdr:rowOff>38100</xdr:rowOff>
    </xdr:from>
    <xdr:to>
      <xdr:col>0</xdr:col>
      <xdr:colOff>885825</xdr:colOff>
      <xdr:row>2</xdr:row>
      <xdr:rowOff>0</xdr:rowOff>
    </xdr:to>
    <xdr:pic>
      <xdr:nvPicPr>
        <xdr:cNvPr id="44033" name="Imagen 387080" descr="Descripción: Marca">
          <a:extLst>
            <a:ext uri="{FF2B5EF4-FFF2-40B4-BE49-F238E27FC236}">
              <a16:creationId xmlns="" xmlns:a16="http://schemas.microsoft.com/office/drawing/2014/main" id="{7CCC5694-BC7F-4A0F-ADE6-390C50296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38100"/>
          <a:ext cx="4572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57150</xdr:colOff>
      <xdr:row>3</xdr:row>
      <xdr:rowOff>214312</xdr:rowOff>
    </xdr:from>
    <xdr:ext cx="2257088" cy="9575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 xmlns:a16="http://schemas.microsoft.com/office/drawing/2014/main"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a:extLst>
                <a:ext uri="{FF2B5EF4-FFF2-40B4-BE49-F238E27FC236}">
                  <a16:creationId xmlns:a16="http://schemas.microsoft.com/office/drawing/2014/main"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995116" cy="10817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 xmlns:a16="http://schemas.microsoft.com/office/drawing/2014/main"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a:extLst>
                <a:ext uri="{FF2B5EF4-FFF2-40B4-BE49-F238E27FC236}">
                  <a16:creationId xmlns:a16="http://schemas.microsoft.com/office/drawing/2014/main"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3824035" cy="95757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 xmlns:a16="http://schemas.microsoft.com/office/drawing/2014/main"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a:extLst>
                <a:ext uri="{FF2B5EF4-FFF2-40B4-BE49-F238E27FC236}">
                  <a16:creationId xmlns:a16="http://schemas.microsoft.com/office/drawing/2014/main"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0</xdr:colOff>
      <xdr:row>6</xdr:row>
      <xdr:rowOff>128587</xdr:rowOff>
    </xdr:from>
    <xdr:ext cx="3699628" cy="9614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 xmlns:a16="http://schemas.microsoft.com/office/drawing/2014/main"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a:extLst>
                <a:ext uri="{FF2B5EF4-FFF2-40B4-BE49-F238E27FC236}">
                  <a16:creationId xmlns:a16="http://schemas.microsoft.com/office/drawing/2014/main"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0</xdr:colOff>
      <xdr:row>7</xdr:row>
      <xdr:rowOff>519112</xdr:rowOff>
    </xdr:from>
    <xdr:ext cx="4767055" cy="1106553"/>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 xmlns:a16="http://schemas.microsoft.com/office/drawing/2014/main"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a:extLst>
                <a:ext uri="{FF2B5EF4-FFF2-40B4-BE49-F238E27FC236}">
                  <a16:creationId xmlns:a16="http://schemas.microsoft.com/office/drawing/2014/main"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4</xdr:col>
      <xdr:colOff>476250</xdr:colOff>
      <xdr:row>9</xdr:row>
      <xdr:rowOff>0</xdr:rowOff>
    </xdr:from>
    <xdr:to>
      <xdr:col>5</xdr:col>
      <xdr:colOff>1419225</xdr:colOff>
      <xdr:row>15194</xdr:row>
      <xdr:rowOff>142875</xdr:rowOff>
    </xdr:to>
    <xdr:grpSp>
      <xdr:nvGrpSpPr>
        <xdr:cNvPr id="45062" name="Grupo 6">
          <a:extLst>
            <a:ext uri="{FF2B5EF4-FFF2-40B4-BE49-F238E27FC236}">
              <a16:creationId xmlns="" xmlns:a16="http://schemas.microsoft.com/office/drawing/2014/main" id="{7B4599CE-AE1B-4CEB-B28D-57069B9AF974}"/>
            </a:ext>
          </a:extLst>
        </xdr:cNvPr>
        <xdr:cNvGrpSpPr>
          <a:grpSpLocks/>
        </xdr:cNvGrpSpPr>
      </xdr:nvGrpSpPr>
      <xdr:grpSpPr bwMode="auto">
        <a:xfrm>
          <a:off x="5819775" y="8448675"/>
          <a:ext cx="1666875" cy="2904105825"/>
          <a:chOff x="4876432" y="7777162"/>
          <a:chExt cx="1021154" cy="304893"/>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 xmlns:a16="http://schemas.microsoft.com/office/drawing/2014/main" id="{F69556EF-32A5-4329-AB59-E2B9209A1B51}"/>
                  </a:ext>
                </a:extLst>
              </xdr:cNvPr>
              <xdr:cNvSpPr txBox="1"/>
            </xdr:nvSpPr>
            <xdr:spPr>
              <a:xfrm>
                <a:off x="4888102" y="7777162"/>
                <a:ext cx="927791"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a:extLst>
                  <a:ext uri="{FF2B5EF4-FFF2-40B4-BE49-F238E27FC236}">
                    <a16:creationId xmlns:a16="http://schemas.microsoft.com/office/drawing/2014/main" id="{F69556EF-32A5-4329-AB59-E2B9209A1B51}"/>
                  </a:ext>
                </a:extLst>
              </xdr:cNvPr>
              <xdr:cNvSpPr txBox="1"/>
            </xdr:nvSpPr>
            <xdr:spPr>
              <a:xfrm>
                <a:off x="4888102" y="7777162"/>
                <a:ext cx="927791"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 xmlns:a16="http://schemas.microsoft.com/office/drawing/2014/main" id="{2911605B-1A35-457D-925B-D82CC6E99E8E}"/>
                  </a:ext>
                </a:extLst>
              </xdr:cNvPr>
              <xdr:cNvSpPr txBox="1"/>
            </xdr:nvSpPr>
            <xdr:spPr>
              <a:xfrm>
                <a:off x="4876432" y="7777162"/>
                <a:ext cx="764407"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a:extLst>
                  <a:ext uri="{FF2B5EF4-FFF2-40B4-BE49-F238E27FC236}">
                    <a16:creationId xmlns:a16="http://schemas.microsoft.com/office/drawing/2014/main" id="{2911605B-1A35-457D-925B-D82CC6E99E8E}"/>
                  </a:ext>
                </a:extLst>
              </xdr:cNvPr>
              <xdr:cNvSpPr txBox="1"/>
            </xdr:nvSpPr>
            <xdr:spPr>
              <a:xfrm>
                <a:off x="4876432" y="7777162"/>
                <a:ext cx="764407"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 xmlns:a16="http://schemas.microsoft.com/office/drawing/2014/main" id="{B235F639-6026-498D-847C-7E49462B364C}"/>
                  </a:ext>
                </a:extLst>
              </xdr:cNvPr>
              <xdr:cNvSpPr txBox="1"/>
            </xdr:nvSpPr>
            <xdr:spPr>
              <a:xfrm>
                <a:off x="4888102" y="8081962"/>
                <a:ext cx="1009484"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a:extLst>
                  <a:ext uri="{FF2B5EF4-FFF2-40B4-BE49-F238E27FC236}">
                    <a16:creationId xmlns:a16="http://schemas.microsoft.com/office/drawing/2014/main" id="{B235F639-6026-498D-847C-7E49462B364C}"/>
                  </a:ext>
                </a:extLst>
              </xdr:cNvPr>
              <xdr:cNvSpPr txBox="1"/>
            </xdr:nvSpPr>
            <xdr:spPr>
              <a:xfrm>
                <a:off x="4888102" y="8081962"/>
                <a:ext cx="1009484"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3344495" cy="9543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 xmlns:a16="http://schemas.microsoft.com/office/drawing/2014/main"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a:extLst>
                <a:ext uri="{FF2B5EF4-FFF2-40B4-BE49-F238E27FC236}">
                  <a16:creationId xmlns:a16="http://schemas.microsoft.com/office/drawing/2014/main"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28575</xdr:colOff>
      <xdr:row>11</xdr:row>
      <xdr:rowOff>76200</xdr:rowOff>
    </xdr:from>
    <xdr:to>
      <xdr:col>4</xdr:col>
      <xdr:colOff>0</xdr:colOff>
      <xdr:row>11</xdr:row>
      <xdr:rowOff>781050</xdr:rowOff>
    </xdr:to>
    <xdr:grpSp>
      <xdr:nvGrpSpPr>
        <xdr:cNvPr id="45064" name="Grupo 11">
          <a:extLst>
            <a:ext uri="{FF2B5EF4-FFF2-40B4-BE49-F238E27FC236}">
              <a16:creationId xmlns="" xmlns:a16="http://schemas.microsoft.com/office/drawing/2014/main" id="{19A67C0B-8F8B-49D7-806E-62308A7E6979}"/>
            </a:ext>
          </a:extLst>
        </xdr:cNvPr>
        <xdr:cNvGrpSpPr>
          <a:grpSpLocks/>
        </xdr:cNvGrpSpPr>
      </xdr:nvGrpSpPr>
      <xdr:grpSpPr bwMode="auto">
        <a:xfrm>
          <a:off x="2105025" y="11201400"/>
          <a:ext cx="3238500" cy="704850"/>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 xmlns:a16="http://schemas.microsoft.com/office/drawing/2014/main" id="{A631EE3C-C8E7-4306-AE54-7B720085D18F}"/>
                  </a:ext>
                </a:extLst>
              </xdr:cNvPr>
              <xdr:cNvSpPr txBox="1"/>
            </xdr:nvSpPr>
            <xdr:spPr>
              <a:xfrm>
                <a:off x="4819182" y="10982325"/>
                <a:ext cx="1152993" cy="316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a:extLst>
                  <a:ext uri="{FF2B5EF4-FFF2-40B4-BE49-F238E27FC236}">
                    <a16:creationId xmlns:a16="http://schemas.microsoft.com/office/drawing/2014/main" id="{A631EE3C-C8E7-4306-AE54-7B720085D18F}"/>
                  </a:ext>
                </a:extLst>
              </xdr:cNvPr>
              <xdr:cNvSpPr txBox="1"/>
            </xdr:nvSpPr>
            <xdr:spPr>
              <a:xfrm>
                <a:off x="4819182" y="10982325"/>
                <a:ext cx="1152993" cy="316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 xmlns:a16="http://schemas.microsoft.com/office/drawing/2014/main" id="{D1B1CB2B-421B-425F-9181-7D4B2CB7550D}"/>
                  </a:ext>
                </a:extLst>
              </xdr:cNvPr>
              <xdr:cNvSpPr txBox="1"/>
            </xdr:nvSpPr>
            <xdr:spPr>
              <a:xfrm>
                <a:off x="4819182" y="11377930"/>
                <a:ext cx="1152993" cy="336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a:extLst>
                  <a:ext uri="{FF2B5EF4-FFF2-40B4-BE49-F238E27FC236}">
                    <a16:creationId xmlns:a16="http://schemas.microsoft.com/office/drawing/2014/main" id="{D1B1CB2B-421B-425F-9181-7D4B2CB7550D}"/>
                  </a:ext>
                </a:extLst>
              </xdr:cNvPr>
              <xdr:cNvSpPr txBox="1"/>
            </xdr:nvSpPr>
            <xdr:spPr>
              <a:xfrm>
                <a:off x="4819182" y="11377930"/>
                <a:ext cx="1152993" cy="336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660474" cy="96162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 xmlns:a16="http://schemas.microsoft.com/office/drawing/2014/main"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a:extLst>
                <a:ext uri="{FF2B5EF4-FFF2-40B4-BE49-F238E27FC236}">
                  <a16:creationId xmlns:a16="http://schemas.microsoft.com/office/drawing/2014/main"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2706794" cy="959877"/>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 xmlns:a16="http://schemas.microsoft.com/office/drawing/2014/main"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a:extLst>
                <a:ext uri="{FF2B5EF4-FFF2-40B4-BE49-F238E27FC236}">
                  <a16:creationId xmlns:a16="http://schemas.microsoft.com/office/drawing/2014/main"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3427733" cy="95757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 xmlns:a16="http://schemas.microsoft.com/office/drawing/2014/main"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a:extLst>
                <a:ext uri="{FF2B5EF4-FFF2-40B4-BE49-F238E27FC236}">
                  <a16:creationId xmlns:a16="http://schemas.microsoft.com/office/drawing/2014/main"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2"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 xmlns:a16="http://schemas.microsoft.com/office/drawing/2014/main" id="{BF7B54AF-6894-4308-ADFC-CAC67987D053}"/>
                </a:ext>
              </a:extLst>
            </xdr:cNvPr>
            <xdr:cNvSpPr txBox="1"/>
          </xdr:nvSpPr>
          <xdr:spPr>
            <a:xfrm>
              <a:off x="2190750" y="16759237"/>
              <a:ext cx="249177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a:extLst>
                <a:ext uri="{FF2B5EF4-FFF2-40B4-BE49-F238E27FC236}">
                  <a16:creationId xmlns:a16="http://schemas.microsoft.com/office/drawing/2014/main" id="{BF7B54AF-6894-4308-ADFC-CAC67987D053}"/>
                </a:ext>
              </a:extLst>
            </xdr:cNvPr>
            <xdr:cNvSpPr txBox="1"/>
          </xdr:nvSpPr>
          <xdr:spPr>
            <a:xfrm>
              <a:off x="2190750" y="16759237"/>
              <a:ext cx="2491772"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3462523" cy="95757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 xmlns:a16="http://schemas.microsoft.com/office/drawing/2014/main"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a:extLst>
                <a:ext uri="{FF2B5EF4-FFF2-40B4-BE49-F238E27FC236}">
                  <a16:creationId xmlns:a16="http://schemas.microsoft.com/office/drawing/2014/main"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404812</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 xmlns:a16="http://schemas.microsoft.com/office/drawing/2014/main" id="{0E17F9B1-0401-436C-B2AA-C4C716810FDB}"/>
                </a:ext>
              </a:extLst>
            </xdr:cNvPr>
            <xdr:cNvSpPr txBox="1"/>
          </xdr:nvSpPr>
          <xdr:spPr>
            <a:xfrm>
              <a:off x="2143125" y="1872138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a:extLst>
                <a:ext uri="{FF2B5EF4-FFF2-40B4-BE49-F238E27FC236}">
                  <a16:creationId xmlns:a16="http://schemas.microsoft.com/office/drawing/2014/main" id="{0E17F9B1-0401-436C-B2AA-C4C716810FDB}"/>
                </a:ext>
              </a:extLst>
            </xdr:cNvPr>
            <xdr:cNvSpPr txBox="1"/>
          </xdr:nvSpPr>
          <xdr:spPr>
            <a:xfrm>
              <a:off x="2143125" y="1872138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3274546" cy="945258"/>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 xmlns:a16="http://schemas.microsoft.com/office/drawing/2014/main"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a:extLst>
                <a:ext uri="{FF2B5EF4-FFF2-40B4-BE49-F238E27FC236}">
                  <a16:creationId xmlns:a16="http://schemas.microsoft.com/office/drawing/2014/main"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2364849" cy="9543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 xmlns:a16="http://schemas.microsoft.com/office/drawing/2014/main"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a:extLst>
                <a:ext uri="{FF2B5EF4-FFF2-40B4-BE49-F238E27FC236}">
                  <a16:creationId xmlns:a16="http://schemas.microsoft.com/office/drawing/2014/main"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2244478" cy="9543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 xmlns:a16="http://schemas.microsoft.com/office/drawing/2014/main"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a:extLst>
                <a:ext uri="{FF2B5EF4-FFF2-40B4-BE49-F238E27FC236}">
                  <a16:creationId xmlns:a16="http://schemas.microsoft.com/office/drawing/2014/main"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2356662" cy="9543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 xmlns:a16="http://schemas.microsoft.com/office/drawing/2014/main"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a:extLst>
                <a:ext uri="{FF2B5EF4-FFF2-40B4-BE49-F238E27FC236}">
                  <a16:creationId xmlns:a16="http://schemas.microsoft.com/office/drawing/2014/main"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1"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 xmlns:a16="http://schemas.microsoft.com/office/drawing/2014/main" id="{B2485E1D-5F8E-4F5C-B160-BEADAEBA9A62}"/>
                </a:ext>
              </a:extLst>
            </xdr:cNvPr>
            <xdr:cNvSpPr txBox="1"/>
          </xdr:nvSpPr>
          <xdr:spPr>
            <a:xfrm>
              <a:off x="2190750" y="936541"/>
              <a:ext cx="179376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a:extLst>
                <a:ext uri="{FF2B5EF4-FFF2-40B4-BE49-F238E27FC236}">
                  <a16:creationId xmlns:a16="http://schemas.microsoft.com/office/drawing/2014/main" id="{B2485E1D-5F8E-4F5C-B160-BEADAEBA9A62}"/>
                </a:ext>
              </a:extLst>
            </xdr:cNvPr>
            <xdr:cNvSpPr txBox="1"/>
          </xdr:nvSpPr>
          <xdr:spPr>
            <a:xfrm>
              <a:off x="2190750" y="936541"/>
              <a:ext cx="179376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1485900</xdr:colOff>
      <xdr:row>8</xdr:row>
      <xdr:rowOff>504825</xdr:rowOff>
    </xdr:from>
    <xdr:to>
      <xdr:col>3</xdr:col>
      <xdr:colOff>3143250</xdr:colOff>
      <xdr:row>9</xdr:row>
      <xdr:rowOff>400050</xdr:rowOff>
    </xdr:to>
    <xdr:grpSp>
      <xdr:nvGrpSpPr>
        <xdr:cNvPr id="45076" name="Grupo 25">
          <a:extLst>
            <a:ext uri="{FF2B5EF4-FFF2-40B4-BE49-F238E27FC236}">
              <a16:creationId xmlns="" xmlns:a16="http://schemas.microsoft.com/office/drawing/2014/main" id="{9E88897B-4210-4638-91E6-1F9EAB937E42}"/>
            </a:ext>
          </a:extLst>
        </xdr:cNvPr>
        <xdr:cNvGrpSpPr>
          <a:grpSpLocks/>
        </xdr:cNvGrpSpPr>
      </xdr:nvGrpSpPr>
      <xdr:grpSpPr bwMode="auto">
        <a:xfrm>
          <a:off x="3562350" y="7658100"/>
          <a:ext cx="1657350" cy="1190625"/>
          <a:chOff x="4877119" y="7777162"/>
          <a:chExt cx="1659036" cy="1185298"/>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 xmlns:a16="http://schemas.microsoft.com/office/drawing/2014/main" id="{F9328626-1F0D-48FA-ADF0-96ACFFA7C5B1}"/>
                  </a:ext>
                </a:extLst>
              </xdr:cNvPr>
              <xdr:cNvSpPr txBox="1"/>
            </xdr:nvSpPr>
            <xdr:spPr>
              <a:xfrm>
                <a:off x="4886654" y="7928880"/>
                <a:ext cx="1458808"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a:extLst>
                  <a:ext uri="{FF2B5EF4-FFF2-40B4-BE49-F238E27FC236}">
                    <a16:creationId xmlns:a16="http://schemas.microsoft.com/office/drawing/2014/main" id="{F9328626-1F0D-48FA-ADF0-96ACFFA7C5B1}"/>
                  </a:ext>
                </a:extLst>
              </xdr:cNvPr>
              <xdr:cNvSpPr txBox="1"/>
            </xdr:nvSpPr>
            <xdr:spPr>
              <a:xfrm>
                <a:off x="4886654" y="7928880"/>
                <a:ext cx="1458808"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 xmlns:a16="http://schemas.microsoft.com/office/drawing/2014/main" id="{EF53C219-A966-432E-B492-8D5D1422A4D5}"/>
                  </a:ext>
                </a:extLst>
              </xdr:cNvPr>
              <xdr:cNvSpPr txBox="1"/>
            </xdr:nvSpPr>
            <xdr:spPr>
              <a:xfrm>
                <a:off x="4877119" y="7777162"/>
                <a:ext cx="1249044"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a:extLst>
                  <a:ext uri="{FF2B5EF4-FFF2-40B4-BE49-F238E27FC236}">
                    <a16:creationId xmlns:a16="http://schemas.microsoft.com/office/drawing/2014/main" id="{EF53C219-A966-432E-B492-8D5D1422A4D5}"/>
                  </a:ext>
                </a:extLst>
              </xdr:cNvPr>
              <xdr:cNvSpPr txBox="1"/>
            </xdr:nvSpPr>
            <xdr:spPr>
              <a:xfrm>
                <a:off x="4877119" y="7777162"/>
                <a:ext cx="1249044"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 xmlns:a16="http://schemas.microsoft.com/office/drawing/2014/main" id="{78DFB16B-D2FA-430D-B37D-BDC5E3BF6B7B}"/>
                  </a:ext>
                </a:extLst>
              </xdr:cNvPr>
              <xdr:cNvSpPr txBox="1"/>
            </xdr:nvSpPr>
            <xdr:spPr>
              <a:xfrm>
                <a:off x="4886654" y="8080598"/>
                <a:ext cx="1649501"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a:extLst>
                  <a:ext uri="{FF2B5EF4-FFF2-40B4-BE49-F238E27FC236}">
                    <a16:creationId xmlns:a16="http://schemas.microsoft.com/office/drawing/2014/main" id="{78DFB16B-D2FA-430D-B37D-BDC5E3BF6B7B}"/>
                  </a:ext>
                </a:extLst>
              </xdr:cNvPr>
              <xdr:cNvSpPr txBox="1"/>
            </xdr:nvSpPr>
            <xdr:spPr>
              <a:xfrm>
                <a:off x="4886654" y="8080598"/>
                <a:ext cx="1649501" cy="881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twoCellAnchor>
    <xdr:from>
      <xdr:col>6</xdr:col>
      <xdr:colOff>152400</xdr:colOff>
      <xdr:row>9</xdr:row>
      <xdr:rowOff>0</xdr:rowOff>
    </xdr:from>
    <xdr:to>
      <xdr:col>8</xdr:col>
      <xdr:colOff>314325</xdr:colOff>
      <xdr:row>15194</xdr:row>
      <xdr:rowOff>142875</xdr:rowOff>
    </xdr:to>
    <xdr:grpSp>
      <xdr:nvGrpSpPr>
        <xdr:cNvPr id="45077" name="Grupo 29">
          <a:extLst>
            <a:ext uri="{FF2B5EF4-FFF2-40B4-BE49-F238E27FC236}">
              <a16:creationId xmlns="" xmlns:a16="http://schemas.microsoft.com/office/drawing/2014/main" id="{71325B88-AAFA-41CE-AB1E-4A61555FBB7C}"/>
            </a:ext>
          </a:extLst>
        </xdr:cNvPr>
        <xdr:cNvGrpSpPr>
          <a:grpSpLocks/>
        </xdr:cNvGrpSpPr>
      </xdr:nvGrpSpPr>
      <xdr:grpSpPr bwMode="auto">
        <a:xfrm>
          <a:off x="8820150" y="8448675"/>
          <a:ext cx="1647825" cy="2904105825"/>
          <a:chOff x="4876800" y="7777162"/>
          <a:chExt cx="5155278" cy="304893"/>
        </a:xfrm>
      </xdr:grpSpPr>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 xmlns:a16="http://schemas.microsoft.com/office/drawing/2014/main" id="{B58A584A-34F4-49B2-BD86-08CBB0E575DB}"/>
                  </a:ext>
                </a:extLst>
              </xdr:cNvPr>
              <xdr:cNvSpPr txBox="1"/>
            </xdr:nvSpPr>
            <xdr:spPr>
              <a:xfrm>
                <a:off x="4876800" y="7777162"/>
                <a:ext cx="4738088"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31" name="CuadroTexto 30">
                <a:extLst>
                  <a:ext uri="{FF2B5EF4-FFF2-40B4-BE49-F238E27FC236}">
                    <a16:creationId xmlns:a16="http://schemas.microsoft.com/office/drawing/2014/main" id="{B58A584A-34F4-49B2-BD86-08CBB0E575DB}"/>
                  </a:ext>
                </a:extLst>
              </xdr:cNvPr>
              <xdr:cNvSpPr txBox="1"/>
            </xdr:nvSpPr>
            <xdr:spPr>
              <a:xfrm>
                <a:off x="4876800" y="7777162"/>
                <a:ext cx="4738088"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 xmlns:a16="http://schemas.microsoft.com/office/drawing/2014/main" id="{4EBB1C59-FF3A-4B90-9FD6-E7E07BD60B30}"/>
                  </a:ext>
                </a:extLst>
              </xdr:cNvPr>
              <xdr:cNvSpPr txBox="1"/>
            </xdr:nvSpPr>
            <xdr:spPr>
              <a:xfrm>
                <a:off x="4876800" y="7777162"/>
                <a:ext cx="3903708"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2" name="CuadroTexto 31">
                <a:extLst>
                  <a:ext uri="{FF2B5EF4-FFF2-40B4-BE49-F238E27FC236}">
                    <a16:creationId xmlns:a16="http://schemas.microsoft.com/office/drawing/2014/main" id="{4EBB1C59-FF3A-4B90-9FD6-E7E07BD60B30}"/>
                  </a:ext>
                </a:extLst>
              </xdr:cNvPr>
              <xdr:cNvSpPr txBox="1"/>
            </xdr:nvSpPr>
            <xdr:spPr>
              <a:xfrm>
                <a:off x="4876800" y="7777162"/>
                <a:ext cx="3903708"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 xmlns:a16="http://schemas.microsoft.com/office/drawing/2014/main" id="{82BBBDFC-AB85-4F81-8DE8-460972D599E1}"/>
                  </a:ext>
                </a:extLst>
              </xdr:cNvPr>
              <xdr:cNvSpPr txBox="1"/>
            </xdr:nvSpPr>
            <xdr:spPr>
              <a:xfrm>
                <a:off x="4876800" y="8081962"/>
                <a:ext cx="5155278"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3" name="CuadroTexto 32">
                <a:extLst>
                  <a:ext uri="{FF2B5EF4-FFF2-40B4-BE49-F238E27FC236}">
                    <a16:creationId xmlns:a16="http://schemas.microsoft.com/office/drawing/2014/main" id="{82BBBDFC-AB85-4F81-8DE8-460972D599E1}"/>
                  </a:ext>
                </a:extLst>
              </xdr:cNvPr>
              <xdr:cNvSpPr txBox="1"/>
            </xdr:nvSpPr>
            <xdr:spPr>
              <a:xfrm>
                <a:off x="4876800" y="8081962"/>
                <a:ext cx="5155278" cy="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95250</xdr:colOff>
      <xdr:row>14</xdr:row>
      <xdr:rowOff>152400</xdr:rowOff>
    </xdr:to>
    <xdr:pic>
      <xdr:nvPicPr>
        <xdr:cNvPr id="46081" name="Imagen 1">
          <a:extLst>
            <a:ext uri="{FF2B5EF4-FFF2-40B4-BE49-F238E27FC236}">
              <a16:creationId xmlns="" xmlns:a16="http://schemas.microsoft.com/office/drawing/2014/main" id="{2BEDD72C-E347-4518-8688-A10BD3820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726757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xdr:row>
      <xdr:rowOff>190500</xdr:rowOff>
    </xdr:from>
    <xdr:to>
      <xdr:col>8</xdr:col>
      <xdr:colOff>28575</xdr:colOff>
      <xdr:row>37</xdr:row>
      <xdr:rowOff>57150</xdr:rowOff>
    </xdr:to>
    <xdr:pic>
      <xdr:nvPicPr>
        <xdr:cNvPr id="46082" name="Imagen 2">
          <a:extLst>
            <a:ext uri="{FF2B5EF4-FFF2-40B4-BE49-F238E27FC236}">
              <a16:creationId xmlns="" xmlns:a16="http://schemas.microsoft.com/office/drawing/2014/main" id="{A0B13E82-7091-445E-9B91-9C0B055BB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048000"/>
          <a:ext cx="72009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8</xdr:col>
      <xdr:colOff>28575</xdr:colOff>
      <xdr:row>57</xdr:row>
      <xdr:rowOff>57150</xdr:rowOff>
    </xdr:to>
    <xdr:pic>
      <xdr:nvPicPr>
        <xdr:cNvPr id="46083" name="Imagen 3">
          <a:extLst>
            <a:ext uri="{FF2B5EF4-FFF2-40B4-BE49-F238E27FC236}">
              <a16:creationId xmlns="" xmlns:a16="http://schemas.microsoft.com/office/drawing/2014/main" id="{90D26745-B425-4833-BDC2-ACE6769C48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915275"/>
          <a:ext cx="7200900"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58</xdr:row>
      <xdr:rowOff>0</xdr:rowOff>
    </xdr:from>
    <xdr:to>
      <xdr:col>8</xdr:col>
      <xdr:colOff>0</xdr:colOff>
      <xdr:row>75</xdr:row>
      <xdr:rowOff>66675</xdr:rowOff>
    </xdr:to>
    <xdr:pic>
      <xdr:nvPicPr>
        <xdr:cNvPr id="46084" name="Imagen 4">
          <a:extLst>
            <a:ext uri="{FF2B5EF4-FFF2-40B4-BE49-F238E27FC236}">
              <a16:creationId xmlns="" xmlns:a16="http://schemas.microsoft.com/office/drawing/2014/main" id="{CEAF27B1-463E-4BE0-8603-24C6E67728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153775"/>
          <a:ext cx="7172325"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76</xdr:row>
      <xdr:rowOff>0</xdr:rowOff>
    </xdr:from>
    <xdr:to>
      <xdr:col>8</xdr:col>
      <xdr:colOff>9525</xdr:colOff>
      <xdr:row>90</xdr:row>
      <xdr:rowOff>38100</xdr:rowOff>
    </xdr:to>
    <xdr:pic>
      <xdr:nvPicPr>
        <xdr:cNvPr id="46085" name="Imagen 5">
          <a:extLst>
            <a:ext uri="{FF2B5EF4-FFF2-40B4-BE49-F238E27FC236}">
              <a16:creationId xmlns="" xmlns:a16="http://schemas.microsoft.com/office/drawing/2014/main" id="{90DAB8AB-5492-4700-93B7-647DF049A4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582775"/>
          <a:ext cx="718185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92</xdr:row>
      <xdr:rowOff>0</xdr:rowOff>
    </xdr:from>
    <xdr:to>
      <xdr:col>8</xdr:col>
      <xdr:colOff>219075</xdr:colOff>
      <xdr:row>108</xdr:row>
      <xdr:rowOff>114300</xdr:rowOff>
    </xdr:to>
    <xdr:pic>
      <xdr:nvPicPr>
        <xdr:cNvPr id="46086" name="Imagen 6">
          <a:extLst>
            <a:ext uri="{FF2B5EF4-FFF2-40B4-BE49-F238E27FC236}">
              <a16:creationId xmlns="" xmlns:a16="http://schemas.microsoft.com/office/drawing/2014/main" id="{5445F6AC-EB26-453E-8D3B-32826FB5F1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7630775"/>
          <a:ext cx="73914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110</xdr:row>
      <xdr:rowOff>0</xdr:rowOff>
    </xdr:from>
    <xdr:to>
      <xdr:col>8</xdr:col>
      <xdr:colOff>171450</xdr:colOff>
      <xdr:row>127</xdr:row>
      <xdr:rowOff>0</xdr:rowOff>
    </xdr:to>
    <xdr:pic>
      <xdr:nvPicPr>
        <xdr:cNvPr id="46087" name="Imagen 7">
          <a:extLst>
            <a:ext uri="{FF2B5EF4-FFF2-40B4-BE49-F238E27FC236}">
              <a16:creationId xmlns="" xmlns:a16="http://schemas.microsoft.com/office/drawing/2014/main" id="{E756A0E9-CABD-42FD-9ADB-44B31B25B59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1059775"/>
          <a:ext cx="7343775"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129</xdr:row>
      <xdr:rowOff>0</xdr:rowOff>
    </xdr:from>
    <xdr:to>
      <xdr:col>8</xdr:col>
      <xdr:colOff>123825</xdr:colOff>
      <xdr:row>146</xdr:row>
      <xdr:rowOff>161925</xdr:rowOff>
    </xdr:to>
    <xdr:pic>
      <xdr:nvPicPr>
        <xdr:cNvPr id="46088" name="Imagen 8">
          <a:extLst>
            <a:ext uri="{FF2B5EF4-FFF2-40B4-BE49-F238E27FC236}">
              <a16:creationId xmlns="" xmlns:a16="http://schemas.microsoft.com/office/drawing/2014/main" id="{CFF1308C-6A53-4C0B-B01E-1EE036FD61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4679275"/>
          <a:ext cx="7296150"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149</xdr:row>
      <xdr:rowOff>0</xdr:rowOff>
    </xdr:from>
    <xdr:to>
      <xdr:col>8</xdr:col>
      <xdr:colOff>219075</xdr:colOff>
      <xdr:row>167</xdr:row>
      <xdr:rowOff>38100</xdr:rowOff>
    </xdr:to>
    <xdr:pic>
      <xdr:nvPicPr>
        <xdr:cNvPr id="46089" name="Imagen 9">
          <a:extLst>
            <a:ext uri="{FF2B5EF4-FFF2-40B4-BE49-F238E27FC236}">
              <a16:creationId xmlns="" xmlns:a16="http://schemas.microsoft.com/office/drawing/2014/main" id="{5E7DC246-2AC5-48BF-B62B-DF9FBED53A7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8489275"/>
          <a:ext cx="739140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18</xdr:col>
      <xdr:colOff>0</xdr:colOff>
      <xdr:row>23</xdr:row>
      <xdr:rowOff>133350</xdr:rowOff>
    </xdr:to>
    <xdr:pic>
      <xdr:nvPicPr>
        <xdr:cNvPr id="46090" name="Imagen 10">
          <a:extLst>
            <a:ext uri="{FF2B5EF4-FFF2-40B4-BE49-F238E27FC236}">
              <a16:creationId xmlns="" xmlns:a16="http://schemas.microsoft.com/office/drawing/2014/main" id="{9FB76FA9-CD7A-4E4B-A5EB-281DD9A9150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96325" y="571500"/>
          <a:ext cx="6096000" cy="394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723900</xdr:colOff>
      <xdr:row>23</xdr:row>
      <xdr:rowOff>171450</xdr:rowOff>
    </xdr:from>
    <xdr:to>
      <xdr:col>17</xdr:col>
      <xdr:colOff>723900</xdr:colOff>
      <xdr:row>41</xdr:row>
      <xdr:rowOff>66675</xdr:rowOff>
    </xdr:to>
    <xdr:pic>
      <xdr:nvPicPr>
        <xdr:cNvPr id="46091" name="Imagen 11">
          <a:extLst>
            <a:ext uri="{FF2B5EF4-FFF2-40B4-BE49-F238E27FC236}">
              <a16:creationId xmlns="" xmlns:a16="http://schemas.microsoft.com/office/drawing/2014/main" id="{4C736C29-4D69-4608-AA1C-7621B84AB19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58225" y="4552950"/>
          <a:ext cx="609600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44</xdr:row>
      <xdr:rowOff>0</xdr:rowOff>
    </xdr:from>
    <xdr:to>
      <xdr:col>21</xdr:col>
      <xdr:colOff>85725</xdr:colOff>
      <xdr:row>61</xdr:row>
      <xdr:rowOff>0</xdr:rowOff>
    </xdr:to>
    <xdr:pic>
      <xdr:nvPicPr>
        <xdr:cNvPr id="46092" name="Imagen 12">
          <a:extLst>
            <a:ext uri="{FF2B5EF4-FFF2-40B4-BE49-F238E27FC236}">
              <a16:creationId xmlns="" xmlns:a16="http://schemas.microsoft.com/office/drawing/2014/main" id="{D62BE991-FD09-4D1C-88EE-A99D58AE6F5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96325" y="8486775"/>
          <a:ext cx="8467725" cy="3238500"/>
        </a:xfrm>
        <a:prstGeom prst="rect">
          <a:avLst/>
        </a:prstGeom>
        <a:solidFill>
          <a:srgbClr val="ED7D3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62</xdr:row>
      <xdr:rowOff>0</xdr:rowOff>
    </xdr:from>
    <xdr:to>
      <xdr:col>21</xdr:col>
      <xdr:colOff>47625</xdr:colOff>
      <xdr:row>82</xdr:row>
      <xdr:rowOff>38100</xdr:rowOff>
    </xdr:to>
    <xdr:pic>
      <xdr:nvPicPr>
        <xdr:cNvPr id="46093" name="Imagen 13">
          <a:extLst>
            <a:ext uri="{FF2B5EF4-FFF2-40B4-BE49-F238E27FC236}">
              <a16:creationId xmlns="" xmlns:a16="http://schemas.microsoft.com/office/drawing/2014/main" id="{B42D4D79-EE99-412D-9482-57F8556C5CC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696325" y="11915775"/>
          <a:ext cx="8429625"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84</xdr:row>
      <xdr:rowOff>0</xdr:rowOff>
    </xdr:from>
    <xdr:to>
      <xdr:col>21</xdr:col>
      <xdr:colOff>9525</xdr:colOff>
      <xdr:row>102</xdr:row>
      <xdr:rowOff>171450</xdr:rowOff>
    </xdr:to>
    <xdr:pic>
      <xdr:nvPicPr>
        <xdr:cNvPr id="46094" name="Imagen 14">
          <a:extLst>
            <a:ext uri="{FF2B5EF4-FFF2-40B4-BE49-F238E27FC236}">
              <a16:creationId xmlns="" xmlns:a16="http://schemas.microsoft.com/office/drawing/2014/main" id="{292305D2-81C3-4210-905B-6E4B2F3FBD6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96325" y="16106775"/>
          <a:ext cx="8391525"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104</xdr:row>
      <xdr:rowOff>0</xdr:rowOff>
    </xdr:from>
    <xdr:to>
      <xdr:col>21</xdr:col>
      <xdr:colOff>123825</xdr:colOff>
      <xdr:row>119</xdr:row>
      <xdr:rowOff>57150</xdr:rowOff>
    </xdr:to>
    <xdr:pic>
      <xdr:nvPicPr>
        <xdr:cNvPr id="46095" name="Imagen 15">
          <a:extLst>
            <a:ext uri="{FF2B5EF4-FFF2-40B4-BE49-F238E27FC236}">
              <a16:creationId xmlns="" xmlns:a16="http://schemas.microsoft.com/office/drawing/2014/main" id="{724501AD-4FDD-4A4C-886A-5B581D2BF18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696325" y="19916775"/>
          <a:ext cx="8505825"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121</xdr:row>
      <xdr:rowOff>0</xdr:rowOff>
    </xdr:from>
    <xdr:to>
      <xdr:col>21</xdr:col>
      <xdr:colOff>123825</xdr:colOff>
      <xdr:row>144</xdr:row>
      <xdr:rowOff>47625</xdr:rowOff>
    </xdr:to>
    <xdr:pic>
      <xdr:nvPicPr>
        <xdr:cNvPr id="46096" name="Imagen 16">
          <a:extLst>
            <a:ext uri="{FF2B5EF4-FFF2-40B4-BE49-F238E27FC236}">
              <a16:creationId xmlns="" xmlns:a16="http://schemas.microsoft.com/office/drawing/2014/main" id="{6741336A-2804-4D0E-83F9-E62DE95CDEB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696325" y="23155275"/>
          <a:ext cx="85058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146</xdr:row>
      <xdr:rowOff>0</xdr:rowOff>
    </xdr:from>
    <xdr:to>
      <xdr:col>21</xdr:col>
      <xdr:colOff>200025</xdr:colOff>
      <xdr:row>168</xdr:row>
      <xdr:rowOff>0</xdr:rowOff>
    </xdr:to>
    <xdr:pic>
      <xdr:nvPicPr>
        <xdr:cNvPr id="46097" name="Imagen 17">
          <a:extLst>
            <a:ext uri="{FF2B5EF4-FFF2-40B4-BE49-F238E27FC236}">
              <a16:creationId xmlns="" xmlns:a16="http://schemas.microsoft.com/office/drawing/2014/main" id="{1897EB1F-0CA1-4E1B-A964-777D68DB27E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696325" y="27917775"/>
          <a:ext cx="8582025"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723900</xdr:colOff>
      <xdr:row>168</xdr:row>
      <xdr:rowOff>161925</xdr:rowOff>
    </xdr:from>
    <xdr:to>
      <xdr:col>21</xdr:col>
      <xdr:colOff>209550</xdr:colOff>
      <xdr:row>191</xdr:row>
      <xdr:rowOff>76200</xdr:rowOff>
    </xdr:to>
    <xdr:pic>
      <xdr:nvPicPr>
        <xdr:cNvPr id="46098" name="Imagen 18">
          <a:extLst>
            <a:ext uri="{FF2B5EF4-FFF2-40B4-BE49-F238E27FC236}">
              <a16:creationId xmlns="" xmlns:a16="http://schemas.microsoft.com/office/drawing/2014/main" id="{131055B0-CA14-437A-BDC8-572C8005794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658225" y="32270700"/>
          <a:ext cx="8629650"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192</xdr:row>
      <xdr:rowOff>9525</xdr:rowOff>
    </xdr:from>
    <xdr:to>
      <xdr:col>21</xdr:col>
      <xdr:colOff>209550</xdr:colOff>
      <xdr:row>212</xdr:row>
      <xdr:rowOff>123825</xdr:rowOff>
    </xdr:to>
    <xdr:pic>
      <xdr:nvPicPr>
        <xdr:cNvPr id="46099" name="Imagen 19">
          <a:extLst>
            <a:ext uri="{FF2B5EF4-FFF2-40B4-BE49-F238E27FC236}">
              <a16:creationId xmlns="" xmlns:a16="http://schemas.microsoft.com/office/drawing/2014/main" id="{B774BD10-1F91-40DA-8B6C-18756E16238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696325" y="36690300"/>
          <a:ext cx="8591550" cy="392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213</xdr:row>
      <xdr:rowOff>0</xdr:rowOff>
    </xdr:from>
    <xdr:to>
      <xdr:col>21</xdr:col>
      <xdr:colOff>133350</xdr:colOff>
      <xdr:row>238</xdr:row>
      <xdr:rowOff>0</xdr:rowOff>
    </xdr:to>
    <xdr:pic>
      <xdr:nvPicPr>
        <xdr:cNvPr id="46100" name="Imagen 20">
          <a:extLst>
            <a:ext uri="{FF2B5EF4-FFF2-40B4-BE49-F238E27FC236}">
              <a16:creationId xmlns="" xmlns:a16="http://schemas.microsoft.com/office/drawing/2014/main" id="{0023B39B-9087-4E14-89E1-217507E130A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696325" y="40681275"/>
          <a:ext cx="8515350" cy="476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xdr:row>
      <xdr:rowOff>0</xdr:rowOff>
    </xdr:from>
    <xdr:to>
      <xdr:col>31</xdr:col>
      <xdr:colOff>552450</xdr:colOff>
      <xdr:row>27</xdr:row>
      <xdr:rowOff>133350</xdr:rowOff>
    </xdr:to>
    <xdr:pic>
      <xdr:nvPicPr>
        <xdr:cNvPr id="46101" name="Imagen 21">
          <a:extLst>
            <a:ext uri="{FF2B5EF4-FFF2-40B4-BE49-F238E27FC236}">
              <a16:creationId xmlns="" xmlns:a16="http://schemas.microsoft.com/office/drawing/2014/main" id="{9F4E9E0D-902A-4692-926A-D43FD52C03E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316325" y="571500"/>
          <a:ext cx="8934450"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erocivil.gov.co/AERONAUTICA/AEROCIVIL%202017/GESTION%20PRESUPUESTO/Presupuest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aerocivil.gov.co/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aerocivil.gov.co/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aerocivil.gov.co/Users/15960304/Downloads/Presupuesto%20universitario%20mensual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8\Seguimiento%20plan%20de%20acci&#243;n%202018\Seguimiento%20compromisos%20estrat&#233;gicos%20Marzo%2031%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sheetData sheetId="5"/>
      <sheetData sheetId="6"/>
      <sheetData sheetId="7"/>
      <sheetData sheetId="8"/>
      <sheetData sheetId="9"/>
      <sheetData sheetId="10"/>
      <sheetData sheetId="11">
        <row r="18">
          <cell r="G18">
            <v>6072000000</v>
          </cell>
        </row>
      </sheetData>
      <sheetData sheetId="12"/>
      <sheetData sheetId="13"/>
      <sheetData sheetId="14"/>
      <sheetData sheetId="15"/>
      <sheetData sheetId="16"/>
      <sheetData sheetId="17"/>
      <sheetData sheetId="18"/>
      <sheetData sheetId="19"/>
      <sheetData sheetId="20"/>
      <sheetData sheetId="21">
        <row r="2">
          <cell r="AB2" t="str">
            <v>ENE</v>
          </cell>
          <cell r="AC2">
            <v>2017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compromisos estraté"/>
      <sheetName val="Programa de Vigilancia Feb"/>
      <sheetName val="Consolidado compromiso Marzo18"/>
      <sheetName val="Programa de Vigilancia Marzo 18"/>
    </sheetNames>
    <sheetDataSet>
      <sheetData sheetId="0"/>
      <sheetData sheetId="1"/>
      <sheetData sheetId="2"/>
      <sheetData sheetId="3">
        <row r="15">
          <cell r="G15">
            <v>0.12587561501810884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erocivil.gov.co/atencion/control/Documents/Plan%20de%20Auditorias%202018%20V1.pdf" TargetMode="External"/><Relationship Id="rId2" Type="http://schemas.openxmlformats.org/officeDocument/2006/relationships/hyperlink" Target="http://www.aerocivil.gov.co/atencion/control/Documents/Plan%20de%20Auditorias%202018%20V1.pdf" TargetMode="External"/><Relationship Id="rId1" Type="http://schemas.openxmlformats.org/officeDocument/2006/relationships/hyperlink" Target="http://www.aerocivil.gov.co/atencion/control/Documents/Plan%20de%20Auditorias%202018%20V1.pdf"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C26"/>
  <sheetViews>
    <sheetView workbookViewId="0">
      <selection activeCell="B34" sqref="B34"/>
    </sheetView>
  </sheetViews>
  <sheetFormatPr baseColWidth="10" defaultRowHeight="15" x14ac:dyDescent="0.25"/>
  <cols>
    <col min="1" max="1" width="1.7109375" customWidth="1"/>
    <col min="2" max="2" width="59.5703125" customWidth="1"/>
    <col min="3" max="3" width="21.5703125" customWidth="1"/>
  </cols>
  <sheetData>
    <row r="1" spans="2:3" ht="9" customHeight="1" x14ac:dyDescent="0.25"/>
    <row r="2" spans="2:3" ht="39" customHeight="1" x14ac:dyDescent="0.25">
      <c r="B2" s="1840" t="s">
        <v>6</v>
      </c>
      <c r="C2" s="1841"/>
    </row>
    <row r="3" spans="2:3" ht="21" customHeight="1" x14ac:dyDescent="0.25">
      <c r="B3" s="3" t="s">
        <v>7</v>
      </c>
      <c r="C3" s="4" t="s">
        <v>36</v>
      </c>
    </row>
    <row r="4" spans="2:3" ht="15.75" x14ac:dyDescent="0.25">
      <c r="B4" s="5" t="s">
        <v>8</v>
      </c>
      <c r="C4" s="12" t="s">
        <v>4</v>
      </c>
    </row>
    <row r="5" spans="2:3" ht="15.75" x14ac:dyDescent="0.25">
      <c r="B5" s="6" t="s">
        <v>25</v>
      </c>
      <c r="C5" s="13" t="s">
        <v>4</v>
      </c>
    </row>
    <row r="6" spans="2:3" ht="15.75" x14ac:dyDescent="0.25">
      <c r="B6" s="5" t="s">
        <v>23</v>
      </c>
      <c r="C6" s="12" t="s">
        <v>4</v>
      </c>
    </row>
    <row r="7" spans="2:3" ht="15.75" x14ac:dyDescent="0.25">
      <c r="B7" s="6" t="s">
        <v>21</v>
      </c>
      <c r="C7" s="13" t="s">
        <v>4</v>
      </c>
    </row>
    <row r="8" spans="2:3" ht="15.75" x14ac:dyDescent="0.25">
      <c r="B8" s="5" t="s">
        <v>19</v>
      </c>
      <c r="C8" s="12" t="s">
        <v>4</v>
      </c>
    </row>
    <row r="9" spans="2:3" ht="15.75" x14ac:dyDescent="0.25">
      <c r="B9" s="6" t="s">
        <v>24</v>
      </c>
      <c r="C9" s="13" t="s">
        <v>4</v>
      </c>
    </row>
    <row r="10" spans="2:3" ht="15.75" x14ac:dyDescent="0.25">
      <c r="B10" s="5" t="s">
        <v>20</v>
      </c>
      <c r="C10" s="12" t="s">
        <v>4</v>
      </c>
    </row>
    <row r="11" spans="2:3" ht="15.75" x14ac:dyDescent="0.25">
      <c r="B11" s="6" t="s">
        <v>22</v>
      </c>
      <c r="C11" s="13" t="s">
        <v>4</v>
      </c>
    </row>
    <row r="12" spans="2:3" ht="15.75" x14ac:dyDescent="0.25">
      <c r="B12" s="5" t="s">
        <v>12</v>
      </c>
      <c r="C12" s="15"/>
    </row>
    <row r="13" spans="2:3" x14ac:dyDescent="0.25">
      <c r="B13" s="6" t="s">
        <v>13</v>
      </c>
      <c r="C13" s="11"/>
    </row>
    <row r="14" spans="2:3" ht="15.75" x14ac:dyDescent="0.25">
      <c r="B14" s="5" t="s">
        <v>15</v>
      </c>
      <c r="C14" s="12" t="s">
        <v>4</v>
      </c>
    </row>
    <row r="15" spans="2:3" ht="15.75" x14ac:dyDescent="0.25">
      <c r="B15" s="6" t="s">
        <v>16</v>
      </c>
      <c r="C15" s="13" t="s">
        <v>4</v>
      </c>
    </row>
    <row r="16" spans="2:3" ht="15.75" x14ac:dyDescent="0.25">
      <c r="B16" s="5" t="s">
        <v>17</v>
      </c>
      <c r="C16" s="12" t="s">
        <v>4</v>
      </c>
    </row>
    <row r="17" spans="2:3" ht="15.75" x14ac:dyDescent="0.25">
      <c r="B17" s="6" t="s">
        <v>14</v>
      </c>
      <c r="C17" s="13" t="s">
        <v>4</v>
      </c>
    </row>
    <row r="18" spans="2:3" ht="22.5" x14ac:dyDescent="0.25">
      <c r="B18" s="5" t="s">
        <v>18</v>
      </c>
      <c r="C18" s="12" t="s">
        <v>4</v>
      </c>
    </row>
    <row r="19" spans="2:3" x14ac:dyDescent="0.25">
      <c r="B19" s="6" t="s">
        <v>9</v>
      </c>
      <c r="C19" s="14"/>
    </row>
    <row r="20" spans="2:3" ht="15.75" x14ac:dyDescent="0.25">
      <c r="B20" s="5" t="s">
        <v>10</v>
      </c>
      <c r="C20" s="12" t="s">
        <v>4</v>
      </c>
    </row>
    <row r="21" spans="2:3" ht="15.75" x14ac:dyDescent="0.25">
      <c r="B21" s="6" t="s">
        <v>33</v>
      </c>
      <c r="C21" s="13" t="s">
        <v>4</v>
      </c>
    </row>
    <row r="22" spans="2:3" ht="15.75" x14ac:dyDescent="0.25">
      <c r="B22" s="5" t="s">
        <v>32</v>
      </c>
      <c r="C22" s="12" t="s">
        <v>4</v>
      </c>
    </row>
    <row r="23" spans="2:3" ht="15.75" x14ac:dyDescent="0.25">
      <c r="B23" s="6" t="s">
        <v>10</v>
      </c>
      <c r="C23" s="13" t="s">
        <v>4</v>
      </c>
    </row>
    <row r="24" spans="2:3" ht="15.75" x14ac:dyDescent="0.25">
      <c r="B24" s="5" t="s">
        <v>11</v>
      </c>
      <c r="C24" s="12" t="s">
        <v>4</v>
      </c>
    </row>
    <row r="25" spans="2:3" ht="22.5" x14ac:dyDescent="0.25">
      <c r="B25" s="6" t="s">
        <v>18</v>
      </c>
      <c r="C25" s="13" t="s">
        <v>4</v>
      </c>
    </row>
    <row r="26" spans="2:3" x14ac:dyDescent="0.25">
      <c r="B26" s="7"/>
      <c r="C26" s="8"/>
    </row>
  </sheetData>
  <mergeCells count="1">
    <mergeCell ref="B2:C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8"/>
    <pageSetUpPr fitToPage="1"/>
  </sheetPr>
  <dimension ref="A1:AM27"/>
  <sheetViews>
    <sheetView topLeftCell="C1" zoomScale="85" zoomScaleNormal="85" zoomScaleSheetLayoutView="85" workbookViewId="0">
      <pane xSplit="6" ySplit="3" topLeftCell="AH25" activePane="bottomRight" state="frozen"/>
      <selection activeCell="C1" sqref="C1"/>
      <selection pane="topRight" activeCell="I1" sqref="I1"/>
      <selection pane="bottomLeft" activeCell="C4" sqref="C4"/>
      <selection pane="bottomRight" activeCell="AL33" sqref="AL33"/>
    </sheetView>
  </sheetViews>
  <sheetFormatPr baseColWidth="10" defaultColWidth="11.5703125" defaultRowHeight="15" x14ac:dyDescent="0.25"/>
  <cols>
    <col min="1" max="1" width="20.5703125" style="904" customWidth="1"/>
    <col min="2" max="2" width="20.140625" style="905" customWidth="1"/>
    <col min="3" max="3" width="17.7109375" style="894" customWidth="1"/>
    <col min="4" max="4" width="20.28515625" style="886" customWidth="1"/>
    <col min="5" max="5" width="17.7109375" style="894" customWidth="1"/>
    <col min="6" max="6" width="15.42578125" style="894" customWidth="1"/>
    <col min="7" max="7" width="17.7109375" style="894" customWidth="1"/>
    <col min="8" max="8" width="28.85546875" style="895" customWidth="1"/>
    <col min="9" max="9" width="7" style="886" bestFit="1" customWidth="1"/>
    <col min="10" max="10" width="9"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14.85546875" style="886" hidden="1" customWidth="1"/>
    <col min="22" max="22" width="11.5703125" style="886" hidden="1" customWidth="1"/>
    <col min="23" max="23" width="65.85546875" style="886" hidden="1" customWidth="1"/>
    <col min="24" max="24" width="28.140625" style="886" hidden="1" customWidth="1"/>
    <col min="25" max="25" width="0" style="991" hidden="1" customWidth="1"/>
    <col min="26" max="26" width="24.140625" style="991" hidden="1" customWidth="1"/>
    <col min="27" max="27" width="43.140625" style="992" hidden="1" customWidth="1"/>
    <col min="28" max="28" width="62.42578125" style="992" hidden="1" customWidth="1"/>
    <col min="29" max="29" width="44.7109375" style="992" hidden="1" customWidth="1"/>
    <col min="30" max="30" width="6.140625" style="991" bestFit="1" customWidth="1"/>
    <col min="31" max="31" width="16.42578125" style="991" bestFit="1" customWidth="1"/>
    <col min="32" max="32" width="43.140625" style="992" customWidth="1"/>
    <col min="33" max="33" width="62.42578125" style="992" customWidth="1"/>
    <col min="34" max="34" width="44.7109375" style="992" customWidth="1"/>
    <col min="35" max="36" width="11.5703125" style="886"/>
    <col min="37" max="37" width="20" style="886" customWidth="1"/>
    <col min="38" max="38" width="35.7109375" style="886" customWidth="1"/>
    <col min="39" max="16384" width="11.5703125" style="886"/>
  </cols>
  <sheetData>
    <row r="1" spans="1:39" ht="57" customHeight="1" x14ac:dyDescent="0.25">
      <c r="A1" s="2120" t="s">
        <v>2552</v>
      </c>
      <c r="B1" s="2121"/>
      <c r="C1" s="2121"/>
      <c r="D1" s="2121"/>
      <c r="E1" s="2121"/>
      <c r="F1" s="2121"/>
      <c r="G1" s="2121"/>
      <c r="H1" s="2122"/>
      <c r="I1" s="2109" t="s">
        <v>1351</v>
      </c>
      <c r="J1" s="2110"/>
      <c r="K1" s="2110"/>
      <c r="L1" s="2110"/>
      <c r="M1" s="2110"/>
      <c r="N1" s="2110"/>
      <c r="O1" s="2110"/>
      <c r="P1" s="2110"/>
      <c r="Q1" s="2110"/>
      <c r="R1" s="2110"/>
      <c r="S1" s="2110"/>
      <c r="T1" s="2111"/>
      <c r="U1" s="2109" t="s">
        <v>1970</v>
      </c>
      <c r="V1" s="2110"/>
      <c r="W1" s="2110"/>
      <c r="X1" s="2111"/>
      <c r="Y1" s="2115" t="s">
        <v>2138</v>
      </c>
      <c r="Z1" s="2116"/>
      <c r="AA1" s="2116"/>
      <c r="AB1" s="2116"/>
      <c r="AC1" s="2116"/>
      <c r="AD1" s="2115" t="s">
        <v>2630</v>
      </c>
      <c r="AE1" s="2116"/>
      <c r="AF1" s="2116"/>
      <c r="AG1" s="2116"/>
      <c r="AH1" s="2116"/>
      <c r="AI1" s="2115" t="s">
        <v>2871</v>
      </c>
      <c r="AJ1" s="2116"/>
      <c r="AK1" s="2116"/>
      <c r="AL1" s="2116"/>
      <c r="AM1" s="2116"/>
    </row>
    <row r="2" spans="1:39" s="1036" customFormat="1" ht="7.5" customHeight="1" x14ac:dyDescent="0.25">
      <c r="A2" s="1032"/>
      <c r="B2" s="1032"/>
      <c r="C2" s="1032"/>
      <c r="D2" s="1032"/>
      <c r="E2" s="1032"/>
      <c r="F2" s="1032"/>
      <c r="G2" s="1032"/>
      <c r="H2" s="1032"/>
      <c r="I2" s="1033"/>
      <c r="J2" s="1033"/>
      <c r="K2" s="1033"/>
      <c r="L2" s="1033"/>
      <c r="M2" s="1033"/>
      <c r="N2" s="1033"/>
      <c r="O2" s="1033"/>
      <c r="P2" s="1033"/>
      <c r="Q2" s="1033"/>
      <c r="R2" s="1033"/>
      <c r="S2" s="1033"/>
      <c r="T2" s="1033"/>
      <c r="U2" s="2112"/>
      <c r="V2" s="2113"/>
      <c r="W2" s="2113"/>
      <c r="X2" s="2114"/>
      <c r="Y2" s="1034"/>
      <c r="Z2" s="1034"/>
      <c r="AA2" s="1035"/>
      <c r="AB2" s="1035"/>
      <c r="AC2" s="1035"/>
      <c r="AD2" s="1034"/>
      <c r="AE2" s="1034"/>
      <c r="AF2" s="1035"/>
      <c r="AG2" s="1035"/>
      <c r="AH2" s="1035"/>
      <c r="AI2" s="1034"/>
      <c r="AJ2" s="1034"/>
      <c r="AK2" s="1035"/>
      <c r="AL2" s="1035"/>
      <c r="AM2" s="1035"/>
    </row>
    <row r="3" spans="1:39" s="906" customFormat="1" ht="51.75" customHeight="1" x14ac:dyDescent="0.25">
      <c r="A3" s="777" t="s">
        <v>1221</v>
      </c>
      <c r="B3" s="777" t="s">
        <v>47</v>
      </c>
      <c r="C3" s="777" t="s">
        <v>1461</v>
      </c>
      <c r="D3" s="777" t="s">
        <v>1</v>
      </c>
      <c r="E3" s="777" t="s">
        <v>51</v>
      </c>
      <c r="F3" s="777" t="s">
        <v>2216</v>
      </c>
      <c r="G3" s="777" t="s">
        <v>3</v>
      </c>
      <c r="H3" s="809"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2023</v>
      </c>
      <c r="W3" s="779" t="s">
        <v>2245</v>
      </c>
      <c r="X3" s="928" t="s">
        <v>1928</v>
      </c>
      <c r="Y3" s="1005" t="s">
        <v>1926</v>
      </c>
      <c r="Z3" s="1005" t="s">
        <v>1927</v>
      </c>
      <c r="AA3" s="777" t="s">
        <v>2126</v>
      </c>
      <c r="AB3" s="777" t="s">
        <v>2159</v>
      </c>
      <c r="AC3" s="777" t="s">
        <v>1928</v>
      </c>
      <c r="AD3" s="1659" t="s">
        <v>1926</v>
      </c>
      <c r="AE3" s="1659" t="s">
        <v>1927</v>
      </c>
      <c r="AF3" s="1659" t="s">
        <v>2126</v>
      </c>
      <c r="AG3" s="1659" t="s">
        <v>2159</v>
      </c>
      <c r="AH3" s="1659" t="s">
        <v>1928</v>
      </c>
      <c r="AI3" s="1748" t="s">
        <v>1926</v>
      </c>
      <c r="AJ3" s="1748" t="s">
        <v>1927</v>
      </c>
      <c r="AK3" s="1748" t="s">
        <v>2126</v>
      </c>
      <c r="AL3" s="1748" t="s">
        <v>2159</v>
      </c>
      <c r="AM3" s="1748" t="s">
        <v>1928</v>
      </c>
    </row>
    <row r="4" spans="1:39" s="908" customFormat="1" ht="108.75" customHeight="1" x14ac:dyDescent="0.25">
      <c r="A4" s="2095" t="s">
        <v>1478</v>
      </c>
      <c r="B4" s="1986" t="s">
        <v>374</v>
      </c>
      <c r="C4" s="1986" t="s">
        <v>1557</v>
      </c>
      <c r="D4" s="1987" t="s">
        <v>1394</v>
      </c>
      <c r="E4" s="1987" t="s">
        <v>105</v>
      </c>
      <c r="F4" s="1987" t="s">
        <v>30</v>
      </c>
      <c r="G4" s="1952" t="s">
        <v>1558</v>
      </c>
      <c r="H4" s="957" t="s">
        <v>1670</v>
      </c>
      <c r="I4" s="1046"/>
      <c r="J4" s="1041"/>
      <c r="K4" s="1041"/>
      <c r="L4" s="1041"/>
      <c r="M4" s="1044"/>
      <c r="N4" s="958" t="s">
        <v>1397</v>
      </c>
      <c r="O4" s="1044"/>
      <c r="P4" s="1044"/>
      <c r="Q4" s="1044"/>
      <c r="R4" s="1044"/>
      <c r="S4" s="1041"/>
      <c r="T4" s="1041"/>
      <c r="U4" s="1014"/>
      <c r="V4" s="1014"/>
      <c r="W4" s="1014"/>
      <c r="X4" s="1016"/>
      <c r="Y4" s="959">
        <v>1</v>
      </c>
      <c r="Z4" s="2106">
        <v>1</v>
      </c>
      <c r="AA4" s="911" t="s">
        <v>2246</v>
      </c>
      <c r="AB4" s="960" t="s">
        <v>2247</v>
      </c>
      <c r="AC4" s="960" t="s">
        <v>2228</v>
      </c>
      <c r="AD4" s="959">
        <v>1</v>
      </c>
      <c r="AE4" s="2106">
        <v>1</v>
      </c>
      <c r="AF4" s="1626" t="s">
        <v>2246</v>
      </c>
      <c r="AG4" s="1609" t="s">
        <v>2692</v>
      </c>
      <c r="AH4" s="1609" t="s">
        <v>2694</v>
      </c>
      <c r="AI4" s="959">
        <v>1</v>
      </c>
      <c r="AJ4" s="2106">
        <v>1</v>
      </c>
      <c r="AK4" s="1751" t="s">
        <v>2987</v>
      </c>
      <c r="AL4" s="1750" t="s">
        <v>2692</v>
      </c>
      <c r="AM4" s="1731"/>
    </row>
    <row r="5" spans="1:39" s="908" customFormat="1" ht="75.75" customHeight="1" x14ac:dyDescent="0.25">
      <c r="A5" s="2095"/>
      <c r="B5" s="1986"/>
      <c r="C5" s="2021"/>
      <c r="D5" s="2123"/>
      <c r="E5" s="2123"/>
      <c r="F5" s="2123"/>
      <c r="G5" s="2124"/>
      <c r="H5" s="961" t="s">
        <v>1671</v>
      </c>
      <c r="I5" s="1047"/>
      <c r="J5" s="1045"/>
      <c r="K5" s="1045"/>
      <c r="L5" s="1045"/>
      <c r="M5" s="1045"/>
      <c r="N5" s="1045"/>
      <c r="O5" s="962" t="s">
        <v>1397</v>
      </c>
      <c r="P5" s="1045"/>
      <c r="Q5" s="1045"/>
      <c r="R5" s="1045" t="s">
        <v>778</v>
      </c>
      <c r="S5" s="1045"/>
      <c r="T5" s="1045"/>
      <c r="U5" s="1017"/>
      <c r="V5" s="1017"/>
      <c r="W5" s="1017"/>
      <c r="X5" s="1018"/>
      <c r="Y5" s="963" t="s">
        <v>353</v>
      </c>
      <c r="Z5" s="2108"/>
      <c r="AA5" s="964" t="s">
        <v>2246</v>
      </c>
      <c r="AB5" s="965" t="s">
        <v>2229</v>
      </c>
      <c r="AC5" s="965" t="s">
        <v>2249</v>
      </c>
      <c r="AD5" s="1614">
        <v>1</v>
      </c>
      <c r="AE5" s="2108"/>
      <c r="AF5" s="1627" t="s">
        <v>2693</v>
      </c>
      <c r="AG5" s="1656" t="s">
        <v>2701</v>
      </c>
      <c r="AH5" s="1613"/>
      <c r="AI5" s="1733">
        <v>1</v>
      </c>
      <c r="AJ5" s="2108"/>
      <c r="AK5" s="1813" t="s">
        <v>2988</v>
      </c>
      <c r="AL5" s="1809" t="s">
        <v>2701</v>
      </c>
      <c r="AM5" s="1734"/>
    </row>
    <row r="6" spans="1:39" s="908" customFormat="1" ht="113.25" customHeight="1" x14ac:dyDescent="0.25">
      <c r="A6" s="2095"/>
      <c r="B6" s="1986"/>
      <c r="C6" s="751" t="s">
        <v>1560</v>
      </c>
      <c r="D6" s="751" t="s">
        <v>1561</v>
      </c>
      <c r="E6" s="751" t="s">
        <v>1730</v>
      </c>
      <c r="F6" s="751" t="s">
        <v>101</v>
      </c>
      <c r="G6" s="966" t="s">
        <v>1558</v>
      </c>
      <c r="H6" s="967" t="s">
        <v>1672</v>
      </c>
      <c r="I6" s="1037" t="s">
        <v>1397</v>
      </c>
      <c r="J6" s="1038" t="s">
        <v>1397</v>
      </c>
      <c r="K6" s="1038" t="s">
        <v>1397</v>
      </c>
      <c r="L6" s="1038" t="s">
        <v>1397</v>
      </c>
      <c r="M6" s="1038"/>
      <c r="N6" s="1038"/>
      <c r="O6" s="1038"/>
      <c r="P6" s="1038"/>
      <c r="Q6" s="1038"/>
      <c r="R6" s="1038"/>
      <c r="S6" s="1038"/>
      <c r="T6" s="1038"/>
      <c r="U6" s="970">
        <v>1</v>
      </c>
      <c r="V6" s="970">
        <v>0.98</v>
      </c>
      <c r="W6" s="971" t="s">
        <v>2058</v>
      </c>
      <c r="X6" s="972" t="s">
        <v>2061</v>
      </c>
      <c r="Y6" s="959">
        <v>1</v>
      </c>
      <c r="Z6" s="959">
        <v>1</v>
      </c>
      <c r="AA6" s="911" t="s">
        <v>2246</v>
      </c>
      <c r="AB6" s="960" t="s">
        <v>2230</v>
      </c>
      <c r="AC6" s="960" t="s">
        <v>2231</v>
      </c>
      <c r="AD6" s="959">
        <v>1</v>
      </c>
      <c r="AE6" s="959">
        <v>1</v>
      </c>
      <c r="AF6" s="1626" t="s">
        <v>2246</v>
      </c>
      <c r="AG6" s="1609" t="s">
        <v>2695</v>
      </c>
      <c r="AH6" s="1609" t="s">
        <v>2231</v>
      </c>
      <c r="AI6" s="959">
        <v>1</v>
      </c>
      <c r="AJ6" s="959">
        <v>1</v>
      </c>
      <c r="AK6" s="1814" t="s">
        <v>2987</v>
      </c>
      <c r="AL6" s="1810" t="s">
        <v>2981</v>
      </c>
      <c r="AM6" s="1731"/>
    </row>
    <row r="7" spans="1:39" s="908" customFormat="1" ht="81.75" customHeight="1" x14ac:dyDescent="0.25">
      <c r="A7" s="2095"/>
      <c r="B7" s="1986"/>
      <c r="C7" s="1986" t="s">
        <v>1739</v>
      </c>
      <c r="D7" s="1987" t="s">
        <v>1399</v>
      </c>
      <c r="E7" s="1987" t="s">
        <v>105</v>
      </c>
      <c r="F7" s="1987" t="s">
        <v>109</v>
      </c>
      <c r="G7" s="1952" t="s">
        <v>1558</v>
      </c>
      <c r="H7" s="957" t="s">
        <v>1647</v>
      </c>
      <c r="I7" s="1039" t="s">
        <v>1397</v>
      </c>
      <c r="J7" s="1040" t="s">
        <v>1397</v>
      </c>
      <c r="K7" s="1040"/>
      <c r="L7" s="1041"/>
      <c r="M7" s="1041"/>
      <c r="N7" s="1041"/>
      <c r="O7" s="1041"/>
      <c r="P7" s="1041"/>
      <c r="Q7" s="1041"/>
      <c r="R7" s="1041"/>
      <c r="S7" s="1041"/>
      <c r="T7" s="1041"/>
      <c r="U7" s="973">
        <v>0.7</v>
      </c>
      <c r="V7" s="973">
        <v>0.7</v>
      </c>
      <c r="W7" s="752" t="s">
        <v>2059</v>
      </c>
      <c r="X7" s="1016"/>
      <c r="Y7" s="993">
        <v>1</v>
      </c>
      <c r="Z7" s="2106">
        <v>0.67</v>
      </c>
      <c r="AA7" s="755" t="s">
        <v>2246</v>
      </c>
      <c r="AB7" s="756" t="s">
        <v>2248</v>
      </c>
      <c r="AC7" s="756"/>
      <c r="AD7" s="1615">
        <v>1</v>
      </c>
      <c r="AE7" s="2106">
        <v>0.67</v>
      </c>
      <c r="AF7" s="1628" t="s">
        <v>2246</v>
      </c>
      <c r="AG7" s="756" t="s">
        <v>2695</v>
      </c>
      <c r="AH7" s="756" t="s">
        <v>2231</v>
      </c>
      <c r="AI7" s="1801">
        <v>1</v>
      </c>
      <c r="AJ7" s="2106">
        <v>0.75</v>
      </c>
      <c r="AK7" s="1815" t="s">
        <v>2987</v>
      </c>
      <c r="AL7" s="1811" t="s">
        <v>2695</v>
      </c>
      <c r="AM7" s="756"/>
    </row>
    <row r="8" spans="1:39" s="908" customFormat="1" ht="120" x14ac:dyDescent="0.25">
      <c r="A8" s="2095"/>
      <c r="B8" s="1986"/>
      <c r="C8" s="1986"/>
      <c r="D8" s="1987"/>
      <c r="E8" s="1987"/>
      <c r="F8" s="1987"/>
      <c r="G8" s="1952"/>
      <c r="H8" s="957" t="s">
        <v>1648</v>
      </c>
      <c r="I8" s="1042"/>
      <c r="J8" s="1043"/>
      <c r="K8" s="1043"/>
      <c r="L8" s="1043" t="s">
        <v>1397</v>
      </c>
      <c r="M8" s="1044"/>
      <c r="N8" s="1044"/>
      <c r="O8" s="1044"/>
      <c r="P8" s="1044"/>
      <c r="Q8" s="1044"/>
      <c r="R8" s="1044"/>
      <c r="S8" s="1044"/>
      <c r="T8" s="1044"/>
      <c r="U8" s="1015"/>
      <c r="V8" s="1015"/>
      <c r="W8" s="1015"/>
      <c r="X8" s="1019"/>
      <c r="Y8" s="993">
        <v>1</v>
      </c>
      <c r="Z8" s="2108"/>
      <c r="AA8" s="755" t="s">
        <v>2246</v>
      </c>
      <c r="AB8" s="756" t="s">
        <v>2250</v>
      </c>
      <c r="AC8" s="756" t="s">
        <v>2232</v>
      </c>
      <c r="AD8" s="1615">
        <v>1</v>
      </c>
      <c r="AE8" s="2108"/>
      <c r="AF8" s="1628" t="s">
        <v>2246</v>
      </c>
      <c r="AG8" s="756" t="s">
        <v>2695</v>
      </c>
      <c r="AH8" s="756" t="s">
        <v>2231</v>
      </c>
      <c r="AI8" s="1801">
        <v>1</v>
      </c>
      <c r="AJ8" s="2108"/>
      <c r="AK8" s="1815" t="s">
        <v>2989</v>
      </c>
      <c r="AL8" s="1811" t="s">
        <v>2695</v>
      </c>
      <c r="AM8" s="756"/>
    </row>
    <row r="9" spans="1:39" s="908" customFormat="1" ht="57" customHeight="1" x14ac:dyDescent="0.25">
      <c r="A9" s="2095"/>
      <c r="B9" s="1986"/>
      <c r="C9" s="1986"/>
      <c r="D9" s="1987"/>
      <c r="E9" s="1987"/>
      <c r="F9" s="1987"/>
      <c r="G9" s="1952"/>
      <c r="H9" s="957" t="s">
        <v>112</v>
      </c>
      <c r="I9" s="1057"/>
      <c r="J9" s="1058"/>
      <c r="K9" s="1058"/>
      <c r="L9" s="1058"/>
      <c r="M9" s="1058" t="s">
        <v>1397</v>
      </c>
      <c r="N9" s="1059"/>
      <c r="O9" s="1059"/>
      <c r="P9" s="1059"/>
      <c r="Q9" s="1059"/>
      <c r="R9" s="962" t="s">
        <v>1397</v>
      </c>
      <c r="S9" s="1059"/>
      <c r="T9" s="1059"/>
      <c r="U9" s="1020"/>
      <c r="V9" s="1020"/>
      <c r="W9" s="1020"/>
      <c r="X9" s="1021"/>
      <c r="Y9" s="993">
        <v>0</v>
      </c>
      <c r="Z9" s="2107"/>
      <c r="AA9" s="755"/>
      <c r="AB9" s="756" t="s">
        <v>2251</v>
      </c>
      <c r="AC9" s="756" t="s">
        <v>2233</v>
      </c>
      <c r="AD9" s="1615">
        <v>0</v>
      </c>
      <c r="AE9" s="2107"/>
      <c r="AF9" s="1628" t="s">
        <v>2702</v>
      </c>
      <c r="AG9" s="756" t="s">
        <v>2703</v>
      </c>
      <c r="AH9" s="756" t="s">
        <v>2233</v>
      </c>
      <c r="AI9" s="1801">
        <v>0.25</v>
      </c>
      <c r="AJ9" s="2107"/>
      <c r="AK9" s="1815" t="s">
        <v>2990</v>
      </c>
      <c r="AL9" s="1811" t="s">
        <v>2982</v>
      </c>
      <c r="AM9" s="756"/>
    </row>
    <row r="10" spans="1:39" s="908" customFormat="1" ht="70.5" customHeight="1" x14ac:dyDescent="0.25">
      <c r="A10" s="2095"/>
      <c r="B10" s="1986"/>
      <c r="C10" s="1987" t="s">
        <v>116</v>
      </c>
      <c r="D10" s="1987" t="s">
        <v>1401</v>
      </c>
      <c r="E10" s="1987" t="s">
        <v>1664</v>
      </c>
      <c r="F10" s="1987" t="s">
        <v>118</v>
      </c>
      <c r="G10" s="1986" t="s">
        <v>1558</v>
      </c>
      <c r="H10" s="957" t="s">
        <v>1731</v>
      </c>
      <c r="I10" s="1048"/>
      <c r="J10" s="1049"/>
      <c r="K10" s="1049"/>
      <c r="L10" s="1049" t="s">
        <v>1397</v>
      </c>
      <c r="M10" s="1049" t="s">
        <v>1397</v>
      </c>
      <c r="N10" s="1050"/>
      <c r="O10" s="1050"/>
      <c r="P10" s="1050"/>
      <c r="Q10" s="1050"/>
      <c r="R10" s="1050"/>
      <c r="S10" s="1050"/>
      <c r="T10" s="1050"/>
      <c r="U10" s="1022"/>
      <c r="V10" s="1022"/>
      <c r="W10" s="1022"/>
      <c r="X10" s="1023"/>
      <c r="Y10" s="993">
        <v>1</v>
      </c>
      <c r="Z10" s="2106">
        <v>0.93</v>
      </c>
      <c r="AA10" s="911" t="s">
        <v>2252</v>
      </c>
      <c r="AB10" s="960" t="s">
        <v>2234</v>
      </c>
      <c r="AC10" s="2104" t="s">
        <v>2253</v>
      </c>
      <c r="AD10" s="1615">
        <v>1</v>
      </c>
      <c r="AE10" s="2106">
        <v>0.93</v>
      </c>
      <c r="AF10" s="1626" t="s">
        <v>2252</v>
      </c>
      <c r="AG10" s="1609" t="s">
        <v>2234</v>
      </c>
      <c r="AH10" s="2104" t="s">
        <v>2253</v>
      </c>
      <c r="AI10" s="1735">
        <v>1</v>
      </c>
      <c r="AJ10" s="2106">
        <v>1</v>
      </c>
      <c r="AK10" s="1814" t="s">
        <v>2991</v>
      </c>
      <c r="AL10" s="1810" t="s">
        <v>2234</v>
      </c>
      <c r="AM10" s="2104"/>
    </row>
    <row r="11" spans="1:39" s="908" customFormat="1" ht="81.75" customHeight="1" x14ac:dyDescent="0.25">
      <c r="A11" s="2095"/>
      <c r="B11" s="1986"/>
      <c r="C11" s="1987"/>
      <c r="D11" s="1987"/>
      <c r="E11" s="1987"/>
      <c r="F11" s="1987"/>
      <c r="G11" s="1986"/>
      <c r="H11" s="957" t="s">
        <v>1403</v>
      </c>
      <c r="I11" s="1051"/>
      <c r="J11" s="1052"/>
      <c r="K11" s="1052"/>
      <c r="L11" s="1052" t="s">
        <v>1397</v>
      </c>
      <c r="M11" s="1052" t="s">
        <v>1397</v>
      </c>
      <c r="N11" s="1052" t="s">
        <v>1397</v>
      </c>
      <c r="O11" s="1052" t="s">
        <v>1397</v>
      </c>
      <c r="P11" s="1052" t="s">
        <v>1397</v>
      </c>
      <c r="Q11" s="1052" t="s">
        <v>1397</v>
      </c>
      <c r="R11" s="1052" t="s">
        <v>1397</v>
      </c>
      <c r="S11" s="1052" t="s">
        <v>1397</v>
      </c>
      <c r="T11" s="1052" t="s">
        <v>1397</v>
      </c>
      <c r="U11" s="1024"/>
      <c r="V11" s="1024"/>
      <c r="W11" s="1024"/>
      <c r="X11" s="1025"/>
      <c r="Y11" s="993">
        <v>1</v>
      </c>
      <c r="Z11" s="2108"/>
      <c r="AA11" s="960" t="s">
        <v>2252</v>
      </c>
      <c r="AB11" s="960" t="s">
        <v>2235</v>
      </c>
      <c r="AC11" s="2105"/>
      <c r="AD11" s="1615">
        <v>1</v>
      </c>
      <c r="AE11" s="2108"/>
      <c r="AF11" s="1609" t="s">
        <v>2252</v>
      </c>
      <c r="AG11" s="1609" t="s">
        <v>2235</v>
      </c>
      <c r="AH11" s="2105"/>
      <c r="AI11" s="1735">
        <v>1</v>
      </c>
      <c r="AJ11" s="2108"/>
      <c r="AK11" s="1810" t="s">
        <v>2992</v>
      </c>
      <c r="AL11" s="1810" t="s">
        <v>2235</v>
      </c>
      <c r="AM11" s="2105"/>
    </row>
    <row r="12" spans="1:39" s="908" customFormat="1" ht="240" x14ac:dyDescent="0.25">
      <c r="A12" s="2095"/>
      <c r="B12" s="1986"/>
      <c r="C12" s="1987"/>
      <c r="D12" s="1987"/>
      <c r="E12" s="1987"/>
      <c r="F12" s="1987"/>
      <c r="G12" s="1986"/>
      <c r="H12" s="957" t="s">
        <v>1732</v>
      </c>
      <c r="I12" s="1053"/>
      <c r="J12" s="1054"/>
      <c r="K12" s="1054"/>
      <c r="L12" s="1054" t="s">
        <v>1397</v>
      </c>
      <c r="M12" s="1054" t="s">
        <v>1397</v>
      </c>
      <c r="N12" s="1054" t="s">
        <v>1397</v>
      </c>
      <c r="O12" s="1054" t="s">
        <v>1397</v>
      </c>
      <c r="P12" s="1054" t="s">
        <v>1397</v>
      </c>
      <c r="Q12" s="1054" t="s">
        <v>1397</v>
      </c>
      <c r="R12" s="1054" t="s">
        <v>1397</v>
      </c>
      <c r="S12" s="1054" t="s">
        <v>1397</v>
      </c>
      <c r="T12" s="1054" t="s">
        <v>1397</v>
      </c>
      <c r="U12" s="1026"/>
      <c r="V12" s="1026"/>
      <c r="W12" s="1026"/>
      <c r="X12" s="1027"/>
      <c r="Y12" s="993">
        <v>0.8</v>
      </c>
      <c r="Z12" s="2107"/>
      <c r="AA12" s="960" t="s">
        <v>2252</v>
      </c>
      <c r="AB12" s="960" t="s">
        <v>2236</v>
      </c>
      <c r="AC12" s="960" t="s">
        <v>2237</v>
      </c>
      <c r="AD12" s="1615">
        <v>0.8</v>
      </c>
      <c r="AE12" s="2107"/>
      <c r="AF12" s="1658" t="s">
        <v>2704</v>
      </c>
      <c r="AG12" s="1658" t="s">
        <v>2705</v>
      </c>
      <c r="AH12" s="1609" t="s">
        <v>2237</v>
      </c>
      <c r="AI12" s="1735">
        <v>1</v>
      </c>
      <c r="AJ12" s="2107"/>
      <c r="AK12" s="1810" t="s">
        <v>2993</v>
      </c>
      <c r="AL12" s="1810" t="s">
        <v>2983</v>
      </c>
      <c r="AM12" s="1731"/>
    </row>
    <row r="13" spans="1:39" s="908" customFormat="1" ht="90" customHeight="1" x14ac:dyDescent="0.25">
      <c r="A13" s="2095"/>
      <c r="B13" s="1986"/>
      <c r="C13" s="1987" t="s">
        <v>121</v>
      </c>
      <c r="D13" s="1987" t="s">
        <v>122</v>
      </c>
      <c r="E13" s="1987" t="s">
        <v>1740</v>
      </c>
      <c r="F13" s="1987" t="s">
        <v>1740</v>
      </c>
      <c r="G13" s="1952" t="s">
        <v>1558</v>
      </c>
      <c r="H13" s="957" t="s">
        <v>2238</v>
      </c>
      <c r="I13" s="1048"/>
      <c r="J13" s="1049"/>
      <c r="K13" s="1049"/>
      <c r="L13" s="1049" t="s">
        <v>1397</v>
      </c>
      <c r="M13" s="1049" t="s">
        <v>1397</v>
      </c>
      <c r="N13" s="1049" t="s">
        <v>1397</v>
      </c>
      <c r="O13" s="1049" t="s">
        <v>1397</v>
      </c>
      <c r="P13" s="1049" t="s">
        <v>1397</v>
      </c>
      <c r="Q13" s="1049" t="s">
        <v>1397</v>
      </c>
      <c r="R13" s="1049" t="s">
        <v>1397</v>
      </c>
      <c r="S13" s="1049" t="s">
        <v>1397</v>
      </c>
      <c r="T13" s="1049" t="s">
        <v>1397</v>
      </c>
      <c r="U13" s="1028"/>
      <c r="V13" s="1028"/>
      <c r="W13" s="1028"/>
      <c r="X13" s="1029"/>
      <c r="Y13" s="887">
        <v>1</v>
      </c>
      <c r="Z13" s="2117">
        <v>0.75</v>
      </c>
      <c r="AA13" s="960" t="s">
        <v>2254</v>
      </c>
      <c r="AB13" s="960" t="s">
        <v>2255</v>
      </c>
      <c r="AC13" s="2104" t="s">
        <v>2256</v>
      </c>
      <c r="AD13" s="1607">
        <v>1</v>
      </c>
      <c r="AE13" s="2117">
        <v>0.92</v>
      </c>
      <c r="AF13" s="1609" t="s">
        <v>2254</v>
      </c>
      <c r="AG13" s="1609" t="s">
        <v>2255</v>
      </c>
      <c r="AH13" s="2104" t="s">
        <v>2706</v>
      </c>
      <c r="AI13" s="1728">
        <v>1</v>
      </c>
      <c r="AJ13" s="2117">
        <v>1</v>
      </c>
      <c r="AK13" s="1810" t="s">
        <v>2994</v>
      </c>
      <c r="AL13" s="1810" t="s">
        <v>2255</v>
      </c>
      <c r="AM13" s="2104"/>
    </row>
    <row r="14" spans="1:39" s="908" customFormat="1" ht="345" x14ac:dyDescent="0.25">
      <c r="A14" s="2095"/>
      <c r="B14" s="1986"/>
      <c r="C14" s="1987"/>
      <c r="D14" s="1987"/>
      <c r="E14" s="1987"/>
      <c r="F14" s="1987"/>
      <c r="G14" s="1952"/>
      <c r="H14" s="957" t="s">
        <v>2239</v>
      </c>
      <c r="I14" s="1055"/>
      <c r="J14" s="1056"/>
      <c r="K14" s="1054"/>
      <c r="L14" s="1054" t="s">
        <v>1397</v>
      </c>
      <c r="M14" s="1054" t="s">
        <v>1397</v>
      </c>
      <c r="N14" s="1054" t="s">
        <v>1397</v>
      </c>
      <c r="O14" s="1054" t="s">
        <v>1397</v>
      </c>
      <c r="P14" s="1054" t="s">
        <v>1397</v>
      </c>
      <c r="Q14" s="1054" t="s">
        <v>1397</v>
      </c>
      <c r="R14" s="1054" t="s">
        <v>1397</v>
      </c>
      <c r="S14" s="1054" t="s">
        <v>1397</v>
      </c>
      <c r="T14" s="1054" t="s">
        <v>1397</v>
      </c>
      <c r="U14" s="1026"/>
      <c r="V14" s="1026"/>
      <c r="W14" s="1026"/>
      <c r="X14" s="1027"/>
      <c r="Y14" s="887">
        <v>0.5</v>
      </c>
      <c r="Z14" s="2118"/>
      <c r="AA14" s="960" t="s">
        <v>2257</v>
      </c>
      <c r="AB14" s="960" t="s">
        <v>2258</v>
      </c>
      <c r="AC14" s="2105"/>
      <c r="AD14" s="1607">
        <v>0.84</v>
      </c>
      <c r="AE14" s="2118"/>
      <c r="AF14" s="1609" t="s">
        <v>2257</v>
      </c>
      <c r="AG14" s="1609" t="s">
        <v>2696</v>
      </c>
      <c r="AH14" s="2105"/>
      <c r="AI14" s="1728">
        <v>1</v>
      </c>
      <c r="AJ14" s="2118"/>
      <c r="AK14" s="1810" t="s">
        <v>2995</v>
      </c>
      <c r="AL14" s="1810" t="s">
        <v>2984</v>
      </c>
      <c r="AM14" s="2105"/>
    </row>
    <row r="15" spans="1:39" s="908" customFormat="1" ht="120" x14ac:dyDescent="0.25">
      <c r="A15" s="2095"/>
      <c r="B15" s="1986"/>
      <c r="C15" s="1987" t="s">
        <v>1565</v>
      </c>
      <c r="D15" s="1987" t="s">
        <v>1566</v>
      </c>
      <c r="E15" s="1987" t="s">
        <v>1465</v>
      </c>
      <c r="F15" s="1987" t="s">
        <v>1466</v>
      </c>
      <c r="G15" s="1986" t="s">
        <v>1567</v>
      </c>
      <c r="H15" s="957" t="s">
        <v>1568</v>
      </c>
      <c r="I15" s="1060"/>
      <c r="J15" s="1050"/>
      <c r="K15" s="1049"/>
      <c r="L15" s="980" t="s">
        <v>1397</v>
      </c>
      <c r="M15" s="1049"/>
      <c r="N15" s="1049"/>
      <c r="O15" s="1049"/>
      <c r="P15" s="1049"/>
      <c r="Q15" s="1049"/>
      <c r="R15" s="1049"/>
      <c r="S15" s="1049"/>
      <c r="T15" s="1049"/>
      <c r="U15" s="976"/>
      <c r="V15" s="976"/>
      <c r="W15" s="976"/>
      <c r="X15" s="981"/>
      <c r="Y15" s="993">
        <v>1</v>
      </c>
      <c r="Z15" s="2106">
        <v>1</v>
      </c>
      <c r="AA15" s="911" t="s">
        <v>2259</v>
      </c>
      <c r="AB15" s="960" t="s">
        <v>2260</v>
      </c>
      <c r="AC15" s="960" t="s">
        <v>2261</v>
      </c>
      <c r="AD15" s="1615">
        <v>1</v>
      </c>
      <c r="AE15" s="2106">
        <v>1</v>
      </c>
      <c r="AF15" s="1626" t="s">
        <v>2259</v>
      </c>
      <c r="AG15" s="1609" t="s">
        <v>2695</v>
      </c>
      <c r="AH15" s="1609" t="s">
        <v>2261</v>
      </c>
      <c r="AI15" s="1735">
        <v>1</v>
      </c>
      <c r="AJ15" s="2106">
        <v>1</v>
      </c>
      <c r="AK15" s="1814" t="s">
        <v>2996</v>
      </c>
      <c r="AL15" s="1810" t="s">
        <v>2695</v>
      </c>
      <c r="AM15" s="1731"/>
    </row>
    <row r="16" spans="1:39" s="908" customFormat="1" ht="120" x14ac:dyDescent="0.25">
      <c r="A16" s="2095"/>
      <c r="B16" s="1986"/>
      <c r="C16" s="1987"/>
      <c r="D16" s="1987"/>
      <c r="E16" s="1987"/>
      <c r="F16" s="1987"/>
      <c r="G16" s="1986"/>
      <c r="H16" s="957" t="s">
        <v>1495</v>
      </c>
      <c r="I16" s="1055"/>
      <c r="J16" s="1056"/>
      <c r="K16" s="1054"/>
      <c r="L16" s="1054"/>
      <c r="M16" s="1054"/>
      <c r="N16" s="1054"/>
      <c r="O16" s="982" t="s">
        <v>1397</v>
      </c>
      <c r="P16" s="1054"/>
      <c r="Q16" s="1054"/>
      <c r="R16" s="1054"/>
      <c r="S16" s="1054"/>
      <c r="T16" s="1054"/>
      <c r="U16" s="979"/>
      <c r="V16" s="979"/>
      <c r="W16" s="979"/>
      <c r="X16" s="983"/>
      <c r="Y16" s="994" t="s">
        <v>353</v>
      </c>
      <c r="Z16" s="2107"/>
      <c r="AA16" s="911"/>
      <c r="AB16" s="960" t="s">
        <v>2240</v>
      </c>
      <c r="AC16" s="960" t="s">
        <v>2241</v>
      </c>
      <c r="AD16" s="1655">
        <v>1</v>
      </c>
      <c r="AE16" s="2107"/>
      <c r="AF16" s="1626" t="s">
        <v>2697</v>
      </c>
      <c r="AG16" s="1658" t="s">
        <v>2707</v>
      </c>
      <c r="AH16" s="1609"/>
      <c r="AI16" s="1735">
        <v>1</v>
      </c>
      <c r="AJ16" s="2107"/>
      <c r="AK16" s="1814" t="s">
        <v>2997</v>
      </c>
      <c r="AL16" s="1810" t="s">
        <v>2707</v>
      </c>
      <c r="AM16" s="1731"/>
    </row>
    <row r="17" spans="1:39" s="908" customFormat="1" ht="195" x14ac:dyDescent="0.25">
      <c r="A17" s="2095"/>
      <c r="B17" s="1986"/>
      <c r="C17" s="2119" t="s">
        <v>1469</v>
      </c>
      <c r="D17" s="2119" t="s">
        <v>1569</v>
      </c>
      <c r="E17" s="2119" t="s">
        <v>1467</v>
      </c>
      <c r="F17" s="2119" t="s">
        <v>1466</v>
      </c>
      <c r="G17" s="2023" t="s">
        <v>1558</v>
      </c>
      <c r="H17" s="984" t="s">
        <v>1496</v>
      </c>
      <c r="I17" s="1062"/>
      <c r="J17" s="1063"/>
      <c r="K17" s="1061"/>
      <c r="L17" s="1061"/>
      <c r="M17" s="1061"/>
      <c r="N17" s="980" t="s">
        <v>1397</v>
      </c>
      <c r="O17" s="980" t="s">
        <v>1397</v>
      </c>
      <c r="P17" s="1061"/>
      <c r="Q17" s="1061"/>
      <c r="R17" s="1061"/>
      <c r="S17" s="1061"/>
      <c r="T17" s="1061"/>
      <c r="U17" s="985"/>
      <c r="V17" s="985"/>
      <c r="W17" s="985"/>
      <c r="X17" s="986"/>
      <c r="Y17" s="993">
        <v>1</v>
      </c>
      <c r="Z17" s="2106">
        <v>0.9</v>
      </c>
      <c r="AA17" s="987" t="s">
        <v>2246</v>
      </c>
      <c r="AB17" s="988" t="s">
        <v>2262</v>
      </c>
      <c r="AC17" s="960" t="s">
        <v>2244</v>
      </c>
      <c r="AD17" s="1615">
        <v>1</v>
      </c>
      <c r="AE17" s="2106">
        <v>0.9</v>
      </c>
      <c r="AF17" s="1625" t="s">
        <v>2698</v>
      </c>
      <c r="AG17" s="1657" t="s">
        <v>2708</v>
      </c>
      <c r="AH17" s="1609"/>
      <c r="AI17" s="1735">
        <v>1</v>
      </c>
      <c r="AJ17" s="2106">
        <v>1</v>
      </c>
      <c r="AK17" s="1816" t="s">
        <v>2998</v>
      </c>
      <c r="AL17" s="1812" t="s">
        <v>2708</v>
      </c>
      <c r="AM17" s="1731"/>
    </row>
    <row r="18" spans="1:39" s="908" customFormat="1" ht="285" x14ac:dyDescent="0.25">
      <c r="A18" s="2095"/>
      <c r="B18" s="1986"/>
      <c r="C18" s="1987"/>
      <c r="D18" s="1987"/>
      <c r="E18" s="1987"/>
      <c r="F18" s="1987"/>
      <c r="G18" s="1986"/>
      <c r="H18" s="957" t="s">
        <v>1497</v>
      </c>
      <c r="I18" s="1064"/>
      <c r="J18" s="1044"/>
      <c r="K18" s="1043"/>
      <c r="L18" s="1043"/>
      <c r="M18" s="1043"/>
      <c r="N18" s="958" t="s">
        <v>1397</v>
      </c>
      <c r="O18" s="1043"/>
      <c r="P18" s="1043"/>
      <c r="Q18" s="1043"/>
      <c r="R18" s="958" t="s">
        <v>1397</v>
      </c>
      <c r="S18" s="1043"/>
      <c r="T18" s="1043"/>
      <c r="U18" s="974"/>
      <c r="V18" s="974"/>
      <c r="W18" s="974"/>
      <c r="X18" s="989"/>
      <c r="Y18" s="993">
        <v>0.8</v>
      </c>
      <c r="Z18" s="2108"/>
      <c r="AA18" s="911" t="s">
        <v>2263</v>
      </c>
      <c r="AB18" s="960" t="s">
        <v>2242</v>
      </c>
      <c r="AC18" s="960" t="s">
        <v>2241</v>
      </c>
      <c r="AD18" s="1615">
        <v>0.8</v>
      </c>
      <c r="AE18" s="2108"/>
      <c r="AF18" s="1626" t="s">
        <v>2699</v>
      </c>
      <c r="AG18" s="1658" t="s">
        <v>2709</v>
      </c>
      <c r="AH18" s="1609"/>
      <c r="AI18" s="1735">
        <v>1</v>
      </c>
      <c r="AJ18" s="2108"/>
      <c r="AK18" s="1814" t="s">
        <v>2999</v>
      </c>
      <c r="AL18" s="1810" t="s">
        <v>2985</v>
      </c>
      <c r="AM18" s="1731"/>
    </row>
    <row r="19" spans="1:39" s="908" customFormat="1" ht="195" x14ac:dyDescent="0.25">
      <c r="A19" s="2095"/>
      <c r="B19" s="1986"/>
      <c r="C19" s="1987"/>
      <c r="D19" s="1987"/>
      <c r="E19" s="1987"/>
      <c r="F19" s="1987"/>
      <c r="G19" s="1986"/>
      <c r="H19" s="957" t="s">
        <v>1498</v>
      </c>
      <c r="I19" s="1065"/>
      <c r="J19" s="1059"/>
      <c r="K19" s="1058"/>
      <c r="L19" s="1058"/>
      <c r="M19" s="1058"/>
      <c r="N19" s="1058"/>
      <c r="O19" s="1058"/>
      <c r="P19" s="1058"/>
      <c r="Q19" s="982" t="s">
        <v>1397</v>
      </c>
      <c r="R19" s="982" t="s">
        <v>1397</v>
      </c>
      <c r="S19" s="982" t="s">
        <v>1397</v>
      </c>
      <c r="T19" s="1058"/>
      <c r="U19" s="975"/>
      <c r="V19" s="975"/>
      <c r="W19" s="975"/>
      <c r="X19" s="990"/>
      <c r="Y19" s="994" t="s">
        <v>353</v>
      </c>
      <c r="Z19" s="2107"/>
      <c r="AA19" s="911"/>
      <c r="AB19" s="960" t="s">
        <v>2243</v>
      </c>
      <c r="AC19" s="960" t="s">
        <v>2241</v>
      </c>
      <c r="AD19" s="1616" t="s">
        <v>353</v>
      </c>
      <c r="AE19" s="2107"/>
      <c r="AF19" s="1626"/>
      <c r="AG19" s="1609" t="s">
        <v>2243</v>
      </c>
      <c r="AH19" s="1699" t="s">
        <v>2842</v>
      </c>
      <c r="AI19" s="959">
        <v>1</v>
      </c>
      <c r="AJ19" s="2107"/>
      <c r="AK19" s="1814" t="s">
        <v>3000</v>
      </c>
      <c r="AL19" s="1810" t="s">
        <v>2986</v>
      </c>
      <c r="AM19" s="1746"/>
    </row>
    <row r="20" spans="1:39" s="908" customFormat="1" ht="15.75" customHeight="1" x14ac:dyDescent="0.25">
      <c r="A20" s="744"/>
      <c r="B20" s="745"/>
      <c r="C20" s="751"/>
      <c r="D20" s="751"/>
      <c r="E20" s="751"/>
      <c r="F20" s="751"/>
      <c r="G20" s="745"/>
      <c r="H20" s="957"/>
      <c r="I20" s="1030"/>
      <c r="J20" s="1031"/>
      <c r="K20" s="1008"/>
      <c r="L20" s="1008"/>
      <c r="M20" s="1008"/>
      <c r="N20" s="1008"/>
      <c r="O20" s="1008"/>
      <c r="P20" s="1008"/>
      <c r="Q20" s="1008"/>
      <c r="R20" s="1008"/>
      <c r="S20" s="1008"/>
      <c r="T20" s="1008"/>
      <c r="U20" s="1008"/>
      <c r="V20" s="1008"/>
      <c r="W20" s="1008"/>
      <c r="X20" s="1009"/>
      <c r="Y20" s="1010"/>
      <c r="Z20" s="1010">
        <v>0.89</v>
      </c>
      <c r="AA20" s="1011"/>
      <c r="AB20" s="1011"/>
      <c r="AC20" s="992"/>
      <c r="AD20" s="1010"/>
      <c r="AE20" s="1010">
        <v>0.89</v>
      </c>
      <c r="AF20" s="1011"/>
      <c r="AG20" s="1011"/>
      <c r="AH20" s="992"/>
      <c r="AI20" s="1010"/>
      <c r="AJ20" s="1010">
        <v>0.96</v>
      </c>
      <c r="AK20" s="1011"/>
      <c r="AL20" s="1011"/>
      <c r="AM20" s="992"/>
    </row>
    <row r="21" spans="1:39" ht="15.75" customHeight="1" x14ac:dyDescent="0.25">
      <c r="A21" s="886"/>
      <c r="B21" s="886"/>
      <c r="C21" s="886"/>
      <c r="E21" s="886"/>
      <c r="F21" s="886"/>
      <c r="G21" s="886"/>
      <c r="H21" s="886"/>
      <c r="Y21" s="886"/>
      <c r="Z21" s="886"/>
      <c r="AA21" s="886"/>
      <c r="AB21" s="886"/>
      <c r="AC21" s="886"/>
      <c r="AD21" s="886"/>
      <c r="AE21" s="886"/>
      <c r="AF21" s="886"/>
      <c r="AG21" s="886"/>
      <c r="AH21" s="886"/>
    </row>
    <row r="22" spans="1:39" ht="30" x14ac:dyDescent="0.25">
      <c r="A22" s="908" t="s">
        <v>2280</v>
      </c>
      <c r="B22" s="886"/>
      <c r="C22" s="886"/>
      <c r="E22" s="886"/>
      <c r="F22" s="886"/>
      <c r="G22" s="886"/>
      <c r="H22" s="886"/>
      <c r="I22" s="1012"/>
      <c r="J22" s="1012"/>
      <c r="K22" s="1012"/>
      <c r="L22" s="1012"/>
      <c r="M22" s="1012"/>
      <c r="N22" s="1012"/>
      <c r="O22" s="1012"/>
      <c r="P22" s="1012"/>
      <c r="Q22" s="1012"/>
      <c r="U22" s="995" t="s">
        <v>2025</v>
      </c>
      <c r="V22" s="995"/>
      <c r="W22" s="995"/>
      <c r="X22" s="996"/>
      <c r="Z22" s="1114" t="s">
        <v>2408</v>
      </c>
      <c r="AA22" s="997" t="s">
        <v>2409</v>
      </c>
      <c r="AB22" s="1035"/>
      <c r="AE22" s="1114" t="s">
        <v>2408</v>
      </c>
      <c r="AF22" s="997" t="s">
        <v>2700</v>
      </c>
      <c r="AG22" s="1035"/>
      <c r="AI22" s="991"/>
      <c r="AJ22" s="1114" t="s">
        <v>2408</v>
      </c>
      <c r="AK22" s="997" t="s">
        <v>3060</v>
      </c>
      <c r="AL22" s="1035"/>
      <c r="AM22" s="992"/>
    </row>
    <row r="23" spans="1:39" x14ac:dyDescent="0.25">
      <c r="A23" s="886"/>
      <c r="B23" s="886"/>
      <c r="C23" s="886"/>
      <c r="E23" s="886"/>
      <c r="F23" s="886"/>
      <c r="G23" s="886"/>
      <c r="H23" s="886"/>
      <c r="U23" s="995" t="s">
        <v>2060</v>
      </c>
      <c r="V23" s="998" t="s">
        <v>2027</v>
      </c>
      <c r="W23" s="999">
        <v>0.21</v>
      </c>
      <c r="X23" s="1000"/>
      <c r="Z23" s="1114" t="s">
        <v>2418</v>
      </c>
      <c r="AA23" s="997" t="s">
        <v>2376</v>
      </c>
      <c r="AB23" s="1515">
        <f>(89%*25%)</f>
        <v>0.2225</v>
      </c>
      <c r="AE23" s="1114" t="s">
        <v>2418</v>
      </c>
      <c r="AF23" s="997" t="s">
        <v>2376</v>
      </c>
      <c r="AG23" s="1515">
        <f>(89%*25%)</f>
        <v>0.2225</v>
      </c>
      <c r="AI23" s="991"/>
      <c r="AJ23" s="1114" t="s">
        <v>3010</v>
      </c>
      <c r="AK23" s="997" t="s">
        <v>2376</v>
      </c>
      <c r="AL23" s="1515">
        <f>(96%*25%)</f>
        <v>0.24</v>
      </c>
      <c r="AM23" s="992"/>
    </row>
    <row r="24" spans="1:39" ht="22.15" customHeight="1" x14ac:dyDescent="0.25">
      <c r="A24" s="886"/>
      <c r="B24" s="886"/>
      <c r="C24" s="886"/>
      <c r="E24" s="886"/>
      <c r="F24" s="886"/>
      <c r="G24" s="886"/>
      <c r="H24" s="886"/>
      <c r="U24" s="1001">
        <f>(84%*25%)</f>
        <v>0.21</v>
      </c>
      <c r="V24" s="995"/>
      <c r="W24" s="995"/>
      <c r="X24" s="1002"/>
      <c r="AA24" s="991"/>
      <c r="AB24" s="991"/>
      <c r="AC24" s="991"/>
      <c r="AF24" s="991"/>
      <c r="AG24" s="991"/>
      <c r="AH24" s="991"/>
    </row>
    <row r="25" spans="1:39" x14ac:dyDescent="0.25">
      <c r="A25" s="886"/>
      <c r="B25" s="886"/>
      <c r="C25" s="886"/>
      <c r="E25" s="886"/>
      <c r="F25" s="886"/>
      <c r="G25" s="886"/>
      <c r="H25" s="886"/>
      <c r="U25" s="1003"/>
      <c r="V25" s="1003"/>
      <c r="W25" s="1003"/>
      <c r="X25" s="1004"/>
    </row>
    <row r="26" spans="1:39" x14ac:dyDescent="0.25">
      <c r="A26" s="886"/>
      <c r="B26" s="886"/>
      <c r="C26" s="886"/>
      <c r="E26" s="886"/>
      <c r="F26" s="886"/>
      <c r="G26" s="886"/>
      <c r="H26" s="886"/>
      <c r="U26" s="1003"/>
      <c r="V26" s="1003"/>
      <c r="W26" s="1003"/>
      <c r="X26" s="1004"/>
    </row>
    <row r="27" spans="1:39" x14ac:dyDescent="0.25">
      <c r="A27" s="886"/>
      <c r="B27" s="886"/>
      <c r="C27" s="886"/>
      <c r="E27" s="886"/>
      <c r="F27" s="886"/>
      <c r="G27" s="886"/>
      <c r="H27" s="886"/>
      <c r="U27" s="899"/>
      <c r="V27" s="899"/>
      <c r="W27" s="899"/>
      <c r="X27" s="899"/>
    </row>
  </sheetData>
  <mergeCells count="62">
    <mergeCell ref="AJ13:AJ14"/>
    <mergeCell ref="AM13:AM14"/>
    <mergeCell ref="AJ15:AJ16"/>
    <mergeCell ref="AJ17:AJ19"/>
    <mergeCell ref="AI1:AM1"/>
    <mergeCell ref="AJ4:AJ5"/>
    <mergeCell ref="AJ7:AJ9"/>
    <mergeCell ref="AJ10:AJ12"/>
    <mergeCell ref="AM10:AM11"/>
    <mergeCell ref="AE13:AE14"/>
    <mergeCell ref="AH13:AH14"/>
    <mergeCell ref="AE15:AE16"/>
    <mergeCell ref="AE17:AE19"/>
    <mergeCell ref="AD1:AH1"/>
    <mergeCell ref="AE4:AE5"/>
    <mergeCell ref="AE7:AE9"/>
    <mergeCell ref="AE10:AE12"/>
    <mergeCell ref="AH10:AH11"/>
    <mergeCell ref="A1:H1"/>
    <mergeCell ref="F4:F5"/>
    <mergeCell ref="G4:G5"/>
    <mergeCell ref="A4:A19"/>
    <mergeCell ref="B4:B19"/>
    <mergeCell ref="C4:C5"/>
    <mergeCell ref="D4:D5"/>
    <mergeCell ref="E4:E5"/>
    <mergeCell ref="C10:C12"/>
    <mergeCell ref="D10:D12"/>
    <mergeCell ref="E10:E12"/>
    <mergeCell ref="F10:F12"/>
    <mergeCell ref="G10:G12"/>
    <mergeCell ref="C7:C9"/>
    <mergeCell ref="D7:D9"/>
    <mergeCell ref="E7:E9"/>
    <mergeCell ref="F7:F9"/>
    <mergeCell ref="G7:G9"/>
    <mergeCell ref="C15:C16"/>
    <mergeCell ref="D15:D16"/>
    <mergeCell ref="E15:E16"/>
    <mergeCell ref="F15:F16"/>
    <mergeCell ref="G15:G16"/>
    <mergeCell ref="C13:C14"/>
    <mergeCell ref="D13:D14"/>
    <mergeCell ref="E13:E14"/>
    <mergeCell ref="F13:F14"/>
    <mergeCell ref="G13:G14"/>
    <mergeCell ref="C17:C19"/>
    <mergeCell ref="D17:D19"/>
    <mergeCell ref="E17:E19"/>
    <mergeCell ref="F17:F19"/>
    <mergeCell ref="G17:G19"/>
    <mergeCell ref="AC13:AC14"/>
    <mergeCell ref="Z15:Z16"/>
    <mergeCell ref="Z17:Z19"/>
    <mergeCell ref="I1:T1"/>
    <mergeCell ref="U1:X2"/>
    <mergeCell ref="Z4:Z5"/>
    <mergeCell ref="Z7:Z9"/>
    <mergeCell ref="Z10:Z12"/>
    <mergeCell ref="Y1:AC1"/>
    <mergeCell ref="AC10:AC11"/>
    <mergeCell ref="Z13:Z14"/>
  </mergeCells>
  <pageMargins left="0.70866141732283472" right="0.70866141732283472" top="0.74803149606299213" bottom="0.74803149606299213" header="0.31496062992125984" footer="0.31496062992125984"/>
  <pageSetup scale="2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8"/>
    <pageSetUpPr fitToPage="1"/>
  </sheetPr>
  <dimension ref="A1:AL18"/>
  <sheetViews>
    <sheetView topLeftCell="C1" zoomScale="85" zoomScaleNormal="85" zoomScaleSheetLayoutView="85" workbookViewId="0">
      <pane xSplit="6" ySplit="3" topLeftCell="AF4" activePane="bottomRight" state="frozen"/>
      <selection activeCell="C1" sqref="C1"/>
      <selection pane="topRight" activeCell="I1" sqref="I1"/>
      <selection pane="bottomLeft" activeCell="C4" sqref="C4"/>
      <selection pane="bottomRight" activeCell="H13" sqref="H13"/>
    </sheetView>
  </sheetViews>
  <sheetFormatPr baseColWidth="10" defaultColWidth="11.5703125" defaultRowHeight="15" x14ac:dyDescent="0.25"/>
  <cols>
    <col min="1" max="1" width="15.7109375" style="904" customWidth="1"/>
    <col min="2" max="2" width="17.85546875" style="905" customWidth="1"/>
    <col min="3" max="3" width="21.140625" style="894" customWidth="1"/>
    <col min="4" max="4" width="16.42578125" style="886" customWidth="1"/>
    <col min="5" max="5" width="16.5703125" style="894" customWidth="1"/>
    <col min="6" max="6" width="26" style="894" customWidth="1"/>
    <col min="7" max="7" width="18" style="894" customWidth="1"/>
    <col min="8" max="8" width="35.140625" style="895" customWidth="1"/>
    <col min="9" max="9" width="7" style="886" customWidth="1"/>
    <col min="10" max="10" width="9" style="886" customWidth="1"/>
    <col min="11" max="11" width="7.7109375" style="886" customWidth="1"/>
    <col min="12" max="12" width="6" style="886" customWidth="1"/>
    <col min="13" max="13" width="6.7109375" style="886" customWidth="1"/>
    <col min="14" max="14" width="6.5703125" style="886" customWidth="1"/>
    <col min="15" max="15" width="6" style="886" customWidth="1"/>
    <col min="16" max="16" width="8.5703125" style="886" customWidth="1"/>
    <col min="17" max="17" width="11.85546875" style="886" customWidth="1"/>
    <col min="18" max="18" width="9.28515625" style="886" customWidth="1"/>
    <col min="19" max="19" width="11.85546875" style="886" customWidth="1"/>
    <col min="20" max="20" width="10.7109375" style="886" customWidth="1"/>
    <col min="21" max="21" width="9.140625" style="886" customWidth="1"/>
    <col min="22" max="22" width="14.140625" style="886" customWidth="1"/>
    <col min="23" max="23" width="44" style="886" customWidth="1"/>
    <col min="24" max="24" width="11.140625" style="886" customWidth="1"/>
    <col min="25" max="25" width="17.7109375" style="886" customWidth="1"/>
    <col min="26" max="26" width="35.42578125" style="886" customWidth="1"/>
    <col min="27" max="27" width="32.42578125" style="886" customWidth="1"/>
    <col min="28" max="28" width="21.7109375" style="886" customWidth="1"/>
    <col min="29" max="29" width="11.140625" style="886" customWidth="1"/>
    <col min="30" max="30" width="17.7109375" style="886" customWidth="1"/>
    <col min="31" max="31" width="43.28515625" style="886" customWidth="1"/>
    <col min="32" max="32" width="50.28515625" style="886" customWidth="1"/>
    <col min="33" max="33" width="31.42578125" style="886" customWidth="1"/>
    <col min="34" max="35" width="11.5703125" style="886"/>
    <col min="36" max="36" width="23.28515625" style="886" customWidth="1"/>
    <col min="37" max="37" width="41.42578125" style="886" customWidth="1"/>
    <col min="38" max="16384" width="11.5703125" style="886"/>
  </cols>
  <sheetData>
    <row r="1" spans="1:38" ht="59.25" customHeight="1" x14ac:dyDescent="0.25">
      <c r="A1" s="2094" t="s">
        <v>2554</v>
      </c>
      <c r="B1" s="2094"/>
      <c r="C1" s="2094"/>
      <c r="D1" s="2094"/>
      <c r="E1" s="2094"/>
      <c r="F1" s="2094"/>
      <c r="G1" s="2094"/>
      <c r="H1" s="2094"/>
      <c r="I1" s="1939" t="s">
        <v>1351</v>
      </c>
      <c r="J1" s="1939"/>
      <c r="K1" s="1939"/>
      <c r="L1" s="1939"/>
      <c r="M1" s="1939"/>
      <c r="N1" s="1939"/>
      <c r="O1" s="1939"/>
      <c r="P1" s="1939"/>
      <c r="Q1" s="1939"/>
      <c r="R1" s="1939"/>
      <c r="S1" s="1939"/>
      <c r="T1" s="1939"/>
      <c r="U1" s="2009" t="s">
        <v>1970</v>
      </c>
      <c r="V1" s="2010"/>
      <c r="W1" s="2011"/>
      <c r="X1" s="1992" t="s">
        <v>2138</v>
      </c>
      <c r="Y1" s="2116"/>
      <c r="Z1" s="2116"/>
      <c r="AA1" s="2116"/>
      <c r="AB1" s="2116"/>
      <c r="AC1" s="1992" t="s">
        <v>2631</v>
      </c>
      <c r="AD1" s="2116"/>
      <c r="AE1" s="2116"/>
      <c r="AF1" s="2116"/>
      <c r="AG1" s="2116"/>
      <c r="AH1" s="1992" t="s">
        <v>2872</v>
      </c>
      <c r="AI1" s="2116"/>
      <c r="AJ1" s="2116"/>
      <c r="AK1" s="2116"/>
      <c r="AL1" s="2116"/>
    </row>
    <row r="2" spans="1:38" ht="7.5" customHeight="1" x14ac:dyDescent="0.25">
      <c r="A2" s="900"/>
      <c r="B2" s="894"/>
      <c r="C2" s="807"/>
      <c r="D2" s="807"/>
      <c r="E2" s="807"/>
      <c r="F2" s="807"/>
      <c r="G2" s="808"/>
      <c r="H2" s="793"/>
    </row>
    <row r="3" spans="1:38" s="943" customFormat="1" ht="51.75" customHeight="1" x14ac:dyDescent="0.25">
      <c r="A3" s="777" t="s">
        <v>1221</v>
      </c>
      <c r="B3" s="777" t="s">
        <v>47</v>
      </c>
      <c r="C3" s="777" t="s">
        <v>1461</v>
      </c>
      <c r="D3" s="777" t="s">
        <v>1</v>
      </c>
      <c r="E3" s="777" t="s">
        <v>51</v>
      </c>
      <c r="F3" s="777" t="s">
        <v>2216</v>
      </c>
      <c r="G3" s="777" t="s">
        <v>3</v>
      </c>
      <c r="H3" s="777"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347</v>
      </c>
      <c r="X3" s="777" t="s">
        <v>1926</v>
      </c>
      <c r="Y3" s="777" t="s">
        <v>1927</v>
      </c>
      <c r="Z3" s="777" t="s">
        <v>2126</v>
      </c>
      <c r="AA3" s="777" t="s">
        <v>1925</v>
      </c>
      <c r="AB3" s="777" t="s">
        <v>1928</v>
      </c>
      <c r="AC3" s="777" t="s">
        <v>1926</v>
      </c>
      <c r="AD3" s="777" t="s">
        <v>1927</v>
      </c>
      <c r="AE3" s="777" t="s">
        <v>2126</v>
      </c>
      <c r="AF3" s="777" t="s">
        <v>1925</v>
      </c>
      <c r="AG3" s="777" t="s">
        <v>1928</v>
      </c>
      <c r="AH3" s="777" t="s">
        <v>1926</v>
      </c>
      <c r="AI3" s="777" t="s">
        <v>1927</v>
      </c>
      <c r="AJ3" s="777" t="s">
        <v>2126</v>
      </c>
      <c r="AK3" s="777" t="s">
        <v>1925</v>
      </c>
      <c r="AL3" s="777" t="s">
        <v>1928</v>
      </c>
    </row>
    <row r="4" spans="1:38" s="908" customFormat="1" ht="55.5" customHeight="1" x14ac:dyDescent="0.25">
      <c r="A4" s="2095" t="s">
        <v>1481</v>
      </c>
      <c r="B4" s="1986" t="s">
        <v>374</v>
      </c>
      <c r="C4" s="2039" t="s">
        <v>1741</v>
      </c>
      <c r="D4" s="2137" t="s">
        <v>1570</v>
      </c>
      <c r="E4" s="2137" t="s">
        <v>56</v>
      </c>
      <c r="F4" s="2137" t="s">
        <v>1742</v>
      </c>
      <c r="G4" s="2044" t="s">
        <v>1571</v>
      </c>
      <c r="H4" s="1066" t="s">
        <v>1252</v>
      </c>
      <c r="I4" s="1060"/>
      <c r="J4" s="1050"/>
      <c r="K4" s="1050"/>
      <c r="L4" s="1050"/>
      <c r="M4" s="1050"/>
      <c r="N4" s="1085" t="s">
        <v>1397</v>
      </c>
      <c r="O4" s="1085" t="s">
        <v>1397</v>
      </c>
      <c r="P4" s="1085" t="s">
        <v>1397</v>
      </c>
      <c r="Q4" s="1085" t="s">
        <v>1397</v>
      </c>
      <c r="R4" s="1085" t="s">
        <v>1397</v>
      </c>
      <c r="S4" s="1085" t="s">
        <v>1397</v>
      </c>
      <c r="T4" s="1085" t="s">
        <v>1397</v>
      </c>
      <c r="U4" s="1067">
        <v>0.3</v>
      </c>
      <c r="V4" s="2131">
        <v>0.3</v>
      </c>
      <c r="W4" s="1068" t="s">
        <v>2169</v>
      </c>
      <c r="X4" s="1094">
        <v>1</v>
      </c>
      <c r="Y4" s="2129">
        <v>1</v>
      </c>
      <c r="Z4" s="1066" t="s">
        <v>2170</v>
      </c>
      <c r="AA4" s="2125" t="s">
        <v>2174</v>
      </c>
      <c r="AB4" s="914"/>
      <c r="AC4" s="1094">
        <v>1</v>
      </c>
      <c r="AD4" s="2129">
        <v>1</v>
      </c>
      <c r="AE4" s="1066" t="s">
        <v>2710</v>
      </c>
      <c r="AF4" s="2125" t="s">
        <v>2713</v>
      </c>
      <c r="AG4" s="2126"/>
      <c r="AH4" s="1094">
        <v>1</v>
      </c>
      <c r="AI4" s="2129">
        <v>1</v>
      </c>
      <c r="AJ4" s="1066" t="s">
        <v>2710</v>
      </c>
      <c r="AK4" s="1806" t="s">
        <v>2973</v>
      </c>
      <c r="AL4" s="2126"/>
    </row>
    <row r="5" spans="1:38" s="908" customFormat="1" ht="47.25" customHeight="1" x14ac:dyDescent="0.25">
      <c r="A5" s="2095"/>
      <c r="B5" s="1986"/>
      <c r="C5" s="2039"/>
      <c r="D5" s="2137"/>
      <c r="E5" s="2137"/>
      <c r="F5" s="2137"/>
      <c r="G5" s="2044"/>
      <c r="H5" s="1066" t="s">
        <v>2265</v>
      </c>
      <c r="I5" s="1086"/>
      <c r="J5" s="1087"/>
      <c r="K5" s="1087"/>
      <c r="L5" s="1087"/>
      <c r="M5" s="1087"/>
      <c r="N5" s="1052" t="s">
        <v>1397</v>
      </c>
      <c r="O5" s="1052" t="s">
        <v>1397</v>
      </c>
      <c r="P5" s="1052" t="s">
        <v>1397</v>
      </c>
      <c r="Q5" s="1052" t="s">
        <v>1397</v>
      </c>
      <c r="R5" s="1052" t="s">
        <v>1397</v>
      </c>
      <c r="S5" s="1052" t="s">
        <v>1397</v>
      </c>
      <c r="T5" s="1088" t="s">
        <v>1397</v>
      </c>
      <c r="U5" s="1067">
        <v>0.3</v>
      </c>
      <c r="V5" s="2132"/>
      <c r="W5" s="1066" t="s">
        <v>2171</v>
      </c>
      <c r="X5" s="1094">
        <v>1</v>
      </c>
      <c r="Y5" s="2130"/>
      <c r="Z5" s="1066" t="s">
        <v>2172</v>
      </c>
      <c r="AA5" s="2125"/>
      <c r="AB5" s="914"/>
      <c r="AC5" s="1094">
        <v>1</v>
      </c>
      <c r="AD5" s="2130"/>
      <c r="AE5" s="1066" t="s">
        <v>2711</v>
      </c>
      <c r="AF5" s="2125"/>
      <c r="AG5" s="2127"/>
      <c r="AH5" s="1094">
        <v>1</v>
      </c>
      <c r="AI5" s="2130"/>
      <c r="AJ5" s="1066" t="s">
        <v>2711</v>
      </c>
      <c r="AK5" s="1807" t="s">
        <v>2974</v>
      </c>
      <c r="AL5" s="2127"/>
    </row>
    <row r="6" spans="1:38" s="908" customFormat="1" ht="42.6" customHeight="1" x14ac:dyDescent="0.25">
      <c r="A6" s="2095"/>
      <c r="B6" s="1986"/>
      <c r="C6" s="2039"/>
      <c r="D6" s="2137"/>
      <c r="E6" s="2137"/>
      <c r="F6" s="2137"/>
      <c r="G6" s="2044"/>
      <c r="H6" s="911" t="s">
        <v>1495</v>
      </c>
      <c r="I6" s="1053"/>
      <c r="J6" s="1054"/>
      <c r="K6" s="1054"/>
      <c r="L6" s="1054"/>
      <c r="M6" s="1054"/>
      <c r="N6" s="1052" t="s">
        <v>1397</v>
      </c>
      <c r="O6" s="1052" t="s">
        <v>1397</v>
      </c>
      <c r="P6" s="1052" t="s">
        <v>1397</v>
      </c>
      <c r="Q6" s="1052" t="s">
        <v>1397</v>
      </c>
      <c r="R6" s="1052" t="s">
        <v>1397</v>
      </c>
      <c r="S6" s="1052" t="s">
        <v>1397</v>
      </c>
      <c r="T6" s="1052" t="s">
        <v>1397</v>
      </c>
      <c r="U6" s="1070">
        <v>0.3</v>
      </c>
      <c r="V6" s="2133"/>
      <c r="W6" s="748" t="s">
        <v>2317</v>
      </c>
      <c r="X6" s="1094">
        <v>1</v>
      </c>
      <c r="Y6" s="2130"/>
      <c r="Z6" s="911" t="s">
        <v>2173</v>
      </c>
      <c r="AA6" s="2125"/>
      <c r="AB6" s="914"/>
      <c r="AC6" s="1094">
        <v>1</v>
      </c>
      <c r="AD6" s="2130"/>
      <c r="AE6" s="1626" t="s">
        <v>2712</v>
      </c>
      <c r="AF6" s="2125"/>
      <c r="AG6" s="2128"/>
      <c r="AH6" s="1094">
        <v>1</v>
      </c>
      <c r="AI6" s="2130"/>
      <c r="AJ6" s="1745" t="s">
        <v>2712</v>
      </c>
      <c r="AK6" s="1807" t="s">
        <v>2975</v>
      </c>
      <c r="AL6" s="2128"/>
    </row>
    <row r="7" spans="1:38" s="908" customFormat="1" ht="60" customHeight="1" x14ac:dyDescent="0.25">
      <c r="A7" s="2095"/>
      <c r="B7" s="1986"/>
      <c r="C7" s="2039" t="s">
        <v>1572</v>
      </c>
      <c r="D7" s="2137" t="s">
        <v>1573</v>
      </c>
      <c r="E7" s="2137" t="s">
        <v>1574</v>
      </c>
      <c r="F7" s="2137" t="s">
        <v>1743</v>
      </c>
      <c r="G7" s="2044" t="s">
        <v>1571</v>
      </c>
      <c r="H7" s="1066" t="s">
        <v>1575</v>
      </c>
      <c r="I7" s="1048"/>
      <c r="J7" s="1049"/>
      <c r="K7" s="1049"/>
      <c r="L7" s="1050"/>
      <c r="M7" s="1050"/>
      <c r="N7" s="1049" t="s">
        <v>1397</v>
      </c>
      <c r="O7" s="1049" t="s">
        <v>1397</v>
      </c>
      <c r="P7" s="1049" t="s">
        <v>1397</v>
      </c>
      <c r="Q7" s="1049" t="s">
        <v>1397</v>
      </c>
      <c r="R7" s="1049" t="s">
        <v>1397</v>
      </c>
      <c r="S7" s="1049" t="s">
        <v>1397</v>
      </c>
      <c r="T7" s="1049" t="s">
        <v>1397</v>
      </c>
      <c r="U7" s="1071">
        <v>0.3</v>
      </c>
      <c r="V7" s="2131">
        <v>0.3</v>
      </c>
      <c r="W7" s="1220" t="s">
        <v>2318</v>
      </c>
      <c r="X7" s="1094">
        <v>1</v>
      </c>
      <c r="Y7" s="2129">
        <v>0.75</v>
      </c>
      <c r="Z7" s="1066" t="s">
        <v>2175</v>
      </c>
      <c r="AA7" s="2125" t="s">
        <v>2321</v>
      </c>
      <c r="AB7" s="914"/>
      <c r="AC7" s="1094">
        <v>1</v>
      </c>
      <c r="AD7" s="2129">
        <v>1</v>
      </c>
      <c r="AE7" s="2077" t="s">
        <v>2714</v>
      </c>
      <c r="AF7" s="2125" t="s">
        <v>2715</v>
      </c>
      <c r="AG7" s="2126"/>
      <c r="AH7" s="1094">
        <v>1</v>
      </c>
      <c r="AI7" s="2129">
        <v>1</v>
      </c>
      <c r="AJ7" s="2077" t="s">
        <v>2714</v>
      </c>
      <c r="AK7" s="1807" t="s">
        <v>2976</v>
      </c>
      <c r="AL7" s="2126"/>
    </row>
    <row r="8" spans="1:38" s="908" customFormat="1" ht="60" customHeight="1" x14ac:dyDescent="0.25">
      <c r="A8" s="2095"/>
      <c r="B8" s="1986"/>
      <c r="C8" s="2039"/>
      <c r="D8" s="2137"/>
      <c r="E8" s="2137"/>
      <c r="F8" s="2137"/>
      <c r="G8" s="2044"/>
      <c r="H8" s="1066" t="s">
        <v>1576</v>
      </c>
      <c r="I8" s="1053"/>
      <c r="J8" s="1054"/>
      <c r="K8" s="1054"/>
      <c r="L8" s="1054"/>
      <c r="M8" s="1056"/>
      <c r="N8" s="1054" t="s">
        <v>1397</v>
      </c>
      <c r="O8" s="1054" t="s">
        <v>1397</v>
      </c>
      <c r="P8" s="1054" t="s">
        <v>1397</v>
      </c>
      <c r="Q8" s="1054" t="s">
        <v>1397</v>
      </c>
      <c r="R8" s="1054" t="s">
        <v>1397</v>
      </c>
      <c r="S8" s="1054" t="s">
        <v>1397</v>
      </c>
      <c r="T8" s="1054" t="s">
        <v>1397</v>
      </c>
      <c r="U8" s="1070">
        <v>0.3</v>
      </c>
      <c r="V8" s="2133"/>
      <c r="W8" s="1066" t="s">
        <v>2176</v>
      </c>
      <c r="X8" s="1094">
        <v>0.5</v>
      </c>
      <c r="Y8" s="2130"/>
      <c r="Z8" s="1066" t="s">
        <v>2177</v>
      </c>
      <c r="AA8" s="2125"/>
      <c r="AB8" s="914"/>
      <c r="AC8" s="1094">
        <v>1</v>
      </c>
      <c r="AD8" s="2130"/>
      <c r="AE8" s="2079"/>
      <c r="AF8" s="2125"/>
      <c r="AG8" s="2128"/>
      <c r="AH8" s="1094">
        <v>1</v>
      </c>
      <c r="AI8" s="2130"/>
      <c r="AJ8" s="2079"/>
      <c r="AK8" s="1807" t="s">
        <v>2977</v>
      </c>
      <c r="AL8" s="2128"/>
    </row>
    <row r="9" spans="1:38" s="908" customFormat="1" ht="51" customHeight="1" x14ac:dyDescent="0.25">
      <c r="A9" s="2095"/>
      <c r="B9" s="1986"/>
      <c r="C9" s="2039" t="s">
        <v>1796</v>
      </c>
      <c r="D9" s="2137" t="s">
        <v>1577</v>
      </c>
      <c r="E9" s="2137" t="s">
        <v>1578</v>
      </c>
      <c r="F9" s="2137" t="s">
        <v>1579</v>
      </c>
      <c r="G9" s="2044" t="s">
        <v>1571</v>
      </c>
      <c r="H9" s="782" t="s">
        <v>2266</v>
      </c>
      <c r="I9" s="1048"/>
      <c r="J9" s="1049"/>
      <c r="K9" s="1049"/>
      <c r="L9" s="1049"/>
      <c r="M9" s="1049"/>
      <c r="N9" s="1049" t="s">
        <v>1906</v>
      </c>
      <c r="O9" s="1049" t="s">
        <v>1906</v>
      </c>
      <c r="P9" s="1049" t="s">
        <v>1906</v>
      </c>
      <c r="Q9" s="1049" t="s">
        <v>1906</v>
      </c>
      <c r="R9" s="1049" t="s">
        <v>1906</v>
      </c>
      <c r="S9" s="1049" t="s">
        <v>1906</v>
      </c>
      <c r="T9" s="1049" t="s">
        <v>1906</v>
      </c>
      <c r="U9" s="1072">
        <v>1</v>
      </c>
      <c r="V9" s="2134">
        <v>0.6</v>
      </c>
      <c r="W9" s="1066" t="s">
        <v>1906</v>
      </c>
      <c r="X9" s="1094" t="s">
        <v>1906</v>
      </c>
      <c r="Y9" s="2129">
        <v>0.94</v>
      </c>
      <c r="Z9" s="1066" t="s">
        <v>2178</v>
      </c>
      <c r="AA9" s="2125" t="s">
        <v>2166</v>
      </c>
      <c r="AB9" s="914"/>
      <c r="AC9" s="1094" t="s">
        <v>1906</v>
      </c>
      <c r="AD9" s="2129">
        <v>0.94</v>
      </c>
      <c r="AE9" s="1066" t="s">
        <v>2178</v>
      </c>
      <c r="AF9" s="2125" t="s">
        <v>2717</v>
      </c>
      <c r="AG9" s="2126"/>
      <c r="AH9" s="1094" t="s">
        <v>1906</v>
      </c>
      <c r="AI9" s="2129">
        <v>0.95</v>
      </c>
      <c r="AJ9" s="1066" t="s">
        <v>2178</v>
      </c>
      <c r="AK9" s="2138" t="s">
        <v>2978</v>
      </c>
      <c r="AL9" s="2126"/>
    </row>
    <row r="10" spans="1:38" s="908" customFormat="1" ht="44.25" customHeight="1" x14ac:dyDescent="0.25">
      <c r="A10" s="2095"/>
      <c r="B10" s="1986"/>
      <c r="C10" s="2039"/>
      <c r="D10" s="2137"/>
      <c r="E10" s="2137"/>
      <c r="F10" s="2137"/>
      <c r="G10" s="2044"/>
      <c r="H10" s="1066" t="s">
        <v>1582</v>
      </c>
      <c r="I10" s="1051"/>
      <c r="J10" s="1052"/>
      <c r="K10" s="1052"/>
      <c r="L10" s="1087"/>
      <c r="M10" s="1087"/>
      <c r="N10" s="1052" t="s">
        <v>1397</v>
      </c>
      <c r="O10" s="1052" t="s">
        <v>1397</v>
      </c>
      <c r="P10" s="1052" t="s">
        <v>1397</v>
      </c>
      <c r="Q10" s="1087"/>
      <c r="R10" s="1087"/>
      <c r="S10" s="1087"/>
      <c r="T10" s="1087"/>
      <c r="U10" s="1073">
        <v>1</v>
      </c>
      <c r="V10" s="2135"/>
      <c r="W10" s="1220" t="s">
        <v>2319</v>
      </c>
      <c r="X10" s="1094">
        <v>1</v>
      </c>
      <c r="Y10" s="2130"/>
      <c r="Z10" s="1066" t="s">
        <v>2179</v>
      </c>
      <c r="AA10" s="2125"/>
      <c r="AB10" s="914"/>
      <c r="AC10" s="1094">
        <v>1</v>
      </c>
      <c r="AD10" s="2130"/>
      <c r="AE10" s="1066" t="s">
        <v>2716</v>
      </c>
      <c r="AF10" s="2125"/>
      <c r="AG10" s="2127"/>
      <c r="AH10" s="1094">
        <v>1</v>
      </c>
      <c r="AI10" s="2130"/>
      <c r="AJ10" s="1066" t="s">
        <v>2716</v>
      </c>
      <c r="AK10" s="2139"/>
      <c r="AL10" s="2127"/>
    </row>
    <row r="11" spans="1:38" s="908" customFormat="1" ht="47.25" customHeight="1" x14ac:dyDescent="0.25">
      <c r="A11" s="2095"/>
      <c r="B11" s="1986"/>
      <c r="C11" s="2039"/>
      <c r="D11" s="2137"/>
      <c r="E11" s="2137"/>
      <c r="F11" s="2137"/>
      <c r="G11" s="2044"/>
      <c r="H11" s="1066" t="s">
        <v>2168</v>
      </c>
      <c r="I11" s="1051"/>
      <c r="J11" s="1052"/>
      <c r="K11" s="1052"/>
      <c r="L11" s="1052"/>
      <c r="M11" s="1087"/>
      <c r="N11" s="1052" t="s">
        <v>1397</v>
      </c>
      <c r="O11" s="1052" t="s">
        <v>1397</v>
      </c>
      <c r="P11" s="1052" t="s">
        <v>1397</v>
      </c>
      <c r="Q11" s="1087"/>
      <c r="R11" s="1087"/>
      <c r="S11" s="1087"/>
      <c r="T11" s="1087"/>
      <c r="U11" s="1073">
        <v>0.2</v>
      </c>
      <c r="V11" s="2135"/>
      <c r="W11" s="1066" t="s">
        <v>2180</v>
      </c>
      <c r="X11" s="1094">
        <v>1</v>
      </c>
      <c r="Y11" s="2130"/>
      <c r="Z11" s="1066" t="s">
        <v>2179</v>
      </c>
      <c r="AA11" s="2125"/>
      <c r="AB11" s="914"/>
      <c r="AC11" s="1094">
        <v>1</v>
      </c>
      <c r="AD11" s="2130"/>
      <c r="AE11" s="1066" t="s">
        <v>2716</v>
      </c>
      <c r="AF11" s="2125"/>
      <c r="AG11" s="2127"/>
      <c r="AH11" s="1094">
        <v>1</v>
      </c>
      <c r="AI11" s="2130"/>
      <c r="AJ11" s="1066" t="s">
        <v>2716</v>
      </c>
      <c r="AK11" s="1808" t="s">
        <v>2979</v>
      </c>
      <c r="AL11" s="2127"/>
    </row>
    <row r="12" spans="1:38" s="908" customFormat="1" ht="55.5" customHeight="1" x14ac:dyDescent="0.25">
      <c r="A12" s="2095"/>
      <c r="B12" s="1986"/>
      <c r="C12" s="2039"/>
      <c r="D12" s="2137"/>
      <c r="E12" s="2137"/>
      <c r="F12" s="2137"/>
      <c r="G12" s="2044"/>
      <c r="H12" s="1066" t="s">
        <v>2267</v>
      </c>
      <c r="I12" s="1089"/>
      <c r="J12" s="1090"/>
      <c r="K12" s="1090"/>
      <c r="L12" s="1090"/>
      <c r="M12" s="1091"/>
      <c r="N12" s="1091"/>
      <c r="O12" s="1052" t="s">
        <v>1397</v>
      </c>
      <c r="P12" s="1052" t="s">
        <v>1397</v>
      </c>
      <c r="Q12" s="1091"/>
      <c r="R12" s="1091"/>
      <c r="S12" s="1091"/>
      <c r="T12" s="1091"/>
      <c r="U12" s="1075"/>
      <c r="V12" s="2135"/>
      <c r="W12" s="1220" t="s">
        <v>2320</v>
      </c>
      <c r="X12" s="1094">
        <v>1</v>
      </c>
      <c r="Y12" s="2130"/>
      <c r="Z12" s="1066" t="s">
        <v>2179</v>
      </c>
      <c r="AA12" s="2125"/>
      <c r="AB12" s="914"/>
      <c r="AC12" s="1094">
        <v>1</v>
      </c>
      <c r="AD12" s="2130"/>
      <c r="AE12" s="1066" t="s">
        <v>2716</v>
      </c>
      <c r="AF12" s="2125"/>
      <c r="AG12" s="2127"/>
      <c r="AH12" s="1094">
        <v>1</v>
      </c>
      <c r="AI12" s="2130"/>
      <c r="AJ12" s="1066" t="s">
        <v>2716</v>
      </c>
      <c r="AK12" s="2138" t="s">
        <v>2980</v>
      </c>
      <c r="AL12" s="2127"/>
    </row>
    <row r="13" spans="1:38" s="908" customFormat="1" ht="64.5" customHeight="1" thickBot="1" x14ac:dyDescent="0.3">
      <c r="A13" s="2095"/>
      <c r="B13" s="1986"/>
      <c r="C13" s="2039"/>
      <c r="D13" s="2137"/>
      <c r="E13" s="2137"/>
      <c r="F13" s="2137"/>
      <c r="G13" s="2044"/>
      <c r="H13" s="1066" t="s">
        <v>2268</v>
      </c>
      <c r="I13" s="1053"/>
      <c r="J13" s="1054"/>
      <c r="K13" s="1054"/>
      <c r="L13" s="1054"/>
      <c r="M13" s="1054"/>
      <c r="N13" s="1054" t="s">
        <v>1397</v>
      </c>
      <c r="O13" s="1054" t="s">
        <v>1397</v>
      </c>
      <c r="P13" s="1054" t="s">
        <v>1397</v>
      </c>
      <c r="Q13" s="1054" t="s">
        <v>1397</v>
      </c>
      <c r="R13" s="1054"/>
      <c r="S13" s="1054"/>
      <c r="T13" s="1054"/>
      <c r="U13" s="1076">
        <v>0.2</v>
      </c>
      <c r="V13" s="2136"/>
      <c r="W13" s="1066" t="s">
        <v>2167</v>
      </c>
      <c r="X13" s="1094">
        <v>0.75</v>
      </c>
      <c r="Y13" s="2130"/>
      <c r="Z13" s="1066" t="s">
        <v>2181</v>
      </c>
      <c r="AA13" s="2125"/>
      <c r="AB13" s="914"/>
      <c r="AC13" s="1094">
        <v>0.75</v>
      </c>
      <c r="AD13" s="2130"/>
      <c r="AE13" s="1066" t="s">
        <v>2181</v>
      </c>
      <c r="AF13" s="2125"/>
      <c r="AG13" s="2128"/>
      <c r="AH13" s="1094">
        <v>0.8</v>
      </c>
      <c r="AI13" s="2130"/>
      <c r="AJ13" s="1066" t="s">
        <v>2181</v>
      </c>
      <c r="AK13" s="2139"/>
      <c r="AL13" s="2128"/>
    </row>
    <row r="14" spans="1:38" ht="15.75" thickTop="1" x14ac:dyDescent="0.25">
      <c r="A14" s="902" t="s">
        <v>2280</v>
      </c>
      <c r="B14" s="903"/>
      <c r="C14" s="891"/>
      <c r="D14" s="892"/>
      <c r="E14" s="891"/>
      <c r="F14" s="891"/>
      <c r="G14" s="891"/>
      <c r="H14" s="893"/>
      <c r="I14" s="1077"/>
      <c r="J14" s="1008"/>
      <c r="K14" s="1008"/>
      <c r="L14" s="1008"/>
      <c r="M14" s="1008"/>
      <c r="N14" s="1008"/>
      <c r="O14" s="1008"/>
      <c r="P14" s="1008"/>
      <c r="Q14" s="1008"/>
      <c r="R14" s="1008"/>
      <c r="S14" s="1078"/>
      <c r="T14" s="1079"/>
      <c r="U14" s="1079"/>
      <c r="V14" s="1080">
        <v>0.4</v>
      </c>
      <c r="W14" s="1081"/>
      <c r="X14" s="1092"/>
      <c r="Y14" s="1093">
        <v>0.9</v>
      </c>
      <c r="Z14" s="1082"/>
      <c r="AA14" s="892"/>
      <c r="AB14" s="892"/>
      <c r="AC14" s="1092"/>
      <c r="AD14" s="1093">
        <v>0.98</v>
      </c>
      <c r="AE14" s="1082"/>
      <c r="AF14" s="892"/>
      <c r="AG14" s="892"/>
      <c r="AH14" s="1092"/>
      <c r="AI14" s="1093"/>
      <c r="AJ14" s="1082"/>
      <c r="AK14" s="892"/>
      <c r="AL14" s="892"/>
    </row>
    <row r="15" spans="1:38" x14ac:dyDescent="0.25">
      <c r="A15" s="902"/>
      <c r="B15" s="903"/>
      <c r="C15" s="891"/>
      <c r="D15" s="892"/>
      <c r="E15" s="891"/>
      <c r="F15" s="891"/>
      <c r="G15" s="891"/>
      <c r="H15" s="893"/>
      <c r="I15" s="968"/>
      <c r="J15" s="969"/>
      <c r="K15" s="969"/>
      <c r="L15" s="969"/>
      <c r="M15" s="969"/>
      <c r="N15" s="969"/>
      <c r="O15" s="969"/>
      <c r="P15" s="969"/>
      <c r="Q15" s="969"/>
      <c r="R15" s="969"/>
      <c r="S15" s="1083"/>
      <c r="T15" s="1079"/>
      <c r="U15" s="1079"/>
      <c r="V15" s="1084">
        <f>(40%*25%)</f>
        <v>0.1</v>
      </c>
      <c r="W15" s="1081"/>
      <c r="X15" s="1079"/>
      <c r="Y15" s="1081"/>
      <c r="Z15" s="1081"/>
      <c r="AA15" s="892"/>
      <c r="AB15" s="892"/>
      <c r="AC15" s="1079"/>
      <c r="AD15" s="1081"/>
      <c r="AE15" s="1081"/>
      <c r="AF15" s="892"/>
      <c r="AG15" s="892"/>
      <c r="AH15" s="1079"/>
      <c r="AI15" s="1081"/>
      <c r="AJ15" s="1081"/>
      <c r="AK15" s="892"/>
      <c r="AL15" s="892"/>
    </row>
    <row r="16" spans="1:38" x14ac:dyDescent="0.25">
      <c r="Y16" s="732" t="s">
        <v>2407</v>
      </c>
      <c r="Z16" s="732" t="s">
        <v>2403</v>
      </c>
      <c r="AD16" s="732" t="s">
        <v>2407</v>
      </c>
      <c r="AE16" s="732" t="s">
        <v>2719</v>
      </c>
      <c r="AI16" s="732" t="s">
        <v>2407</v>
      </c>
      <c r="AJ16" s="732" t="s">
        <v>2719</v>
      </c>
    </row>
    <row r="17" spans="25:37" x14ac:dyDescent="0.25">
      <c r="Y17" s="732" t="s">
        <v>2419</v>
      </c>
      <c r="Z17" s="732" t="s">
        <v>2376</v>
      </c>
      <c r="AA17" s="1515">
        <f>(90%*25%)</f>
        <v>0.22500000000000001</v>
      </c>
      <c r="AD17" s="732" t="s">
        <v>2718</v>
      </c>
      <c r="AE17" s="732" t="s">
        <v>2376</v>
      </c>
      <c r="AF17" s="1515">
        <f>(98%*25%)</f>
        <v>0.245</v>
      </c>
      <c r="AI17" s="732" t="s">
        <v>2718</v>
      </c>
      <c r="AJ17" s="732" t="s">
        <v>2371</v>
      </c>
      <c r="AK17" s="1515">
        <f>(98%*25%)</f>
        <v>0.245</v>
      </c>
    </row>
    <row r="18" spans="25:37" x14ac:dyDescent="0.25">
      <c r="Y18" s="905"/>
      <c r="Z18" s="905"/>
      <c r="AD18" s="905"/>
      <c r="AE18" s="905"/>
    </row>
  </sheetData>
  <mergeCells count="51">
    <mergeCell ref="AL9:AL13"/>
    <mergeCell ref="AH1:AL1"/>
    <mergeCell ref="AI4:AI6"/>
    <mergeCell ref="AL4:AL6"/>
    <mergeCell ref="AI7:AI8"/>
    <mergeCell ref="AJ7:AJ8"/>
    <mergeCell ref="AL7:AL8"/>
    <mergeCell ref="AK9:AK10"/>
    <mergeCell ref="AK12:AK13"/>
    <mergeCell ref="AC1:AG1"/>
    <mergeCell ref="AD4:AD6"/>
    <mergeCell ref="AF4:AF6"/>
    <mergeCell ref="AD7:AD8"/>
    <mergeCell ref="AF7:AF8"/>
    <mergeCell ref="AE7:AE8"/>
    <mergeCell ref="AG4:AG6"/>
    <mergeCell ref="AG7:AG8"/>
    <mergeCell ref="A1:H1"/>
    <mergeCell ref="A4:A13"/>
    <mergeCell ref="B4:B13"/>
    <mergeCell ref="Y9:Y13"/>
    <mergeCell ref="I1:T1"/>
    <mergeCell ref="U1:W1"/>
    <mergeCell ref="X1:AB1"/>
    <mergeCell ref="C9:C13"/>
    <mergeCell ref="G7:G8"/>
    <mergeCell ref="E4:E6"/>
    <mergeCell ref="F4:F6"/>
    <mergeCell ref="C7:C8"/>
    <mergeCell ref="D7:D8"/>
    <mergeCell ref="E7:E8"/>
    <mergeCell ref="F7:F8"/>
    <mergeCell ref="D9:D13"/>
    <mergeCell ref="E9:E13"/>
    <mergeCell ref="F9:F13"/>
    <mergeCell ref="G9:G13"/>
    <mergeCell ref="C4:C6"/>
    <mergeCell ref="D4:D6"/>
    <mergeCell ref="G4:G6"/>
    <mergeCell ref="V4:V6"/>
    <mergeCell ref="V7:V8"/>
    <mergeCell ref="V9:V13"/>
    <mergeCell ref="Y4:Y6"/>
    <mergeCell ref="Y7:Y8"/>
    <mergeCell ref="AF9:AF13"/>
    <mergeCell ref="AG9:AG13"/>
    <mergeCell ref="AI9:AI13"/>
    <mergeCell ref="AA4:AA6"/>
    <mergeCell ref="AA7:AA8"/>
    <mergeCell ref="AA9:AA13"/>
    <mergeCell ref="AD9:AD13"/>
  </mergeCells>
  <pageMargins left="0.70866141732283472" right="0.70866141732283472" top="0.74803149606299213" bottom="0.74803149606299213" header="0.31496062992125984" footer="0.31496062992125984"/>
  <pageSetup scale="29"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N25"/>
  <sheetViews>
    <sheetView topLeftCell="C1" zoomScale="80" zoomScaleNormal="80" workbookViewId="0">
      <pane xSplit="6" ySplit="3" topLeftCell="AJ19" activePane="bottomRight" state="frozen"/>
      <selection activeCell="S8" sqref="S8:S9"/>
      <selection pane="topRight" activeCell="S8" sqref="S8:S9"/>
      <selection pane="bottomLeft" activeCell="S8" sqref="S8:S9"/>
      <selection pane="bottomRight" activeCell="AL40" sqref="AL40"/>
    </sheetView>
  </sheetViews>
  <sheetFormatPr baseColWidth="10" defaultRowHeight="15" x14ac:dyDescent="0.25"/>
  <cols>
    <col min="1" max="1" width="20.85546875" style="886" customWidth="1"/>
    <col min="2" max="2" width="20.140625" style="886" customWidth="1"/>
    <col min="3" max="3" width="27.140625" style="886" customWidth="1"/>
    <col min="4" max="4" width="18.5703125" style="886" customWidth="1"/>
    <col min="5" max="5" width="16.42578125" style="886" customWidth="1"/>
    <col min="6" max="6" width="19.42578125" style="886" customWidth="1"/>
    <col min="7" max="7" width="20.28515625" style="886" customWidth="1"/>
    <col min="8" max="8" width="39.28515625" style="886" customWidth="1"/>
    <col min="9" max="9" width="7.42578125" style="886" bestFit="1" customWidth="1"/>
    <col min="10" max="10" width="9.5703125" style="886" bestFit="1" customWidth="1"/>
    <col min="11" max="11" width="8" style="886" bestFit="1" customWidth="1"/>
    <col min="12" max="12" width="6.42578125" style="886" bestFit="1" customWidth="1"/>
    <col min="13" max="14" width="6.7109375" style="886" bestFit="1" customWidth="1"/>
    <col min="15" max="15" width="6.28515625" style="886" bestFit="1" customWidth="1"/>
    <col min="16" max="16" width="8.85546875" style="886" bestFit="1" customWidth="1"/>
    <col min="17" max="17" width="12.42578125" style="886" bestFit="1" customWidth="1"/>
    <col min="18" max="18" width="9.85546875" style="886" bestFit="1" customWidth="1"/>
    <col min="19" max="19" width="12.28515625" style="886" bestFit="1" customWidth="1"/>
    <col min="20" max="20" width="11.28515625" style="886" bestFit="1" customWidth="1"/>
    <col min="21" max="21" width="11.42578125" style="886" customWidth="1"/>
    <col min="22" max="22" width="14.85546875" style="886" customWidth="1"/>
    <col min="23" max="23" width="45.42578125" style="886" customWidth="1"/>
    <col min="24" max="25" width="11.42578125" style="886" customWidth="1"/>
    <col min="26" max="26" width="17.42578125" style="886" customWidth="1"/>
    <col min="27" max="27" width="22.85546875" style="886" customWidth="1"/>
    <col min="28" max="28" width="34.28515625" style="1098" customWidth="1"/>
    <col min="29" max="29" width="55.7109375" style="1098" customWidth="1"/>
    <col min="30" max="30" width="34" style="1098" customWidth="1"/>
    <col min="31" max="31" width="17.42578125" style="886" bestFit="1" customWidth="1"/>
    <col min="32" max="32" width="22.85546875" style="886" customWidth="1"/>
    <col min="33" max="33" width="34.28515625" style="1098" customWidth="1"/>
    <col min="34" max="34" width="62.28515625" style="1098" customWidth="1"/>
    <col min="35" max="35" width="34" style="1098" customWidth="1"/>
    <col min="36" max="37" width="11.42578125" style="886"/>
    <col min="38" max="38" width="67.42578125" style="886" customWidth="1"/>
    <col min="39" max="39" width="46.42578125" style="886" customWidth="1"/>
    <col min="40" max="40" width="32.5703125" style="886" customWidth="1"/>
    <col min="41" max="44" width="11.42578125" style="886"/>
    <col min="45" max="45" width="21.85546875" style="886" customWidth="1"/>
    <col min="46" max="16384" width="11.42578125" style="886"/>
  </cols>
  <sheetData>
    <row r="1" spans="1:40" ht="58.5" customHeight="1" x14ac:dyDescent="0.25">
      <c r="A1" s="2094" t="s">
        <v>2555</v>
      </c>
      <c r="B1" s="2094"/>
      <c r="C1" s="2094"/>
      <c r="D1" s="2094"/>
      <c r="E1" s="2094"/>
      <c r="F1" s="2094"/>
      <c r="G1" s="2094"/>
      <c r="H1" s="2094"/>
      <c r="I1" s="1939" t="s">
        <v>1351</v>
      </c>
      <c r="J1" s="1939"/>
      <c r="K1" s="1939"/>
      <c r="L1" s="1939"/>
      <c r="M1" s="1939"/>
      <c r="N1" s="1939"/>
      <c r="O1" s="1939"/>
      <c r="P1" s="1939"/>
      <c r="Q1" s="1939"/>
      <c r="R1" s="1939"/>
      <c r="S1" s="1939"/>
      <c r="T1" s="1939"/>
      <c r="U1" s="2150" t="s">
        <v>1970</v>
      </c>
      <c r="V1" s="2150"/>
      <c r="W1" s="2151"/>
      <c r="X1" s="939"/>
      <c r="Z1" s="1992" t="s">
        <v>2138</v>
      </c>
      <c r="AA1" s="2116"/>
      <c r="AB1" s="2116"/>
      <c r="AC1" s="2116"/>
      <c r="AD1" s="2116"/>
      <c r="AE1" s="1992" t="s">
        <v>2631</v>
      </c>
      <c r="AF1" s="2116"/>
      <c r="AG1" s="2116"/>
      <c r="AH1" s="2116"/>
      <c r="AI1" s="2116"/>
      <c r="AJ1" s="1992" t="s">
        <v>2871</v>
      </c>
      <c r="AK1" s="2116"/>
      <c r="AL1" s="2116"/>
      <c r="AM1" s="2116"/>
      <c r="AN1" s="2116"/>
    </row>
    <row r="2" spans="1:40" ht="10.5" customHeight="1" x14ac:dyDescent="0.25">
      <c r="A2" s="900"/>
      <c r="B2" s="894"/>
      <c r="C2" s="807"/>
      <c r="D2" s="807"/>
      <c r="E2" s="807"/>
      <c r="F2" s="807"/>
      <c r="G2" s="808"/>
      <c r="H2" s="793"/>
      <c r="X2" s="807"/>
      <c r="AL2" s="1098"/>
      <c r="AM2" s="1098"/>
      <c r="AN2" s="1098"/>
    </row>
    <row r="3" spans="1:40" s="906" customFormat="1" ht="45"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1957</v>
      </c>
      <c r="X3" s="780"/>
      <c r="Y3" s="780"/>
      <c r="Z3" s="777" t="s">
        <v>1926</v>
      </c>
      <c r="AA3" s="777" t="s">
        <v>1927</v>
      </c>
      <c r="AB3" s="777" t="s">
        <v>2126</v>
      </c>
      <c r="AC3" s="777" t="s">
        <v>2159</v>
      </c>
      <c r="AD3" s="777" t="s">
        <v>1928</v>
      </c>
      <c r="AE3" s="779" t="s">
        <v>1926</v>
      </c>
      <c r="AF3" s="779" t="s">
        <v>1927</v>
      </c>
      <c r="AG3" s="779" t="s">
        <v>2126</v>
      </c>
      <c r="AH3" s="779" t="s">
        <v>2159</v>
      </c>
      <c r="AI3" s="779" t="s">
        <v>1928</v>
      </c>
      <c r="AJ3" s="1767" t="s">
        <v>1926</v>
      </c>
      <c r="AK3" s="1767" t="s">
        <v>1927</v>
      </c>
      <c r="AL3" s="1767" t="s">
        <v>2126</v>
      </c>
      <c r="AM3" s="1767" t="s">
        <v>2159</v>
      </c>
      <c r="AN3" s="1767" t="s">
        <v>1928</v>
      </c>
    </row>
    <row r="4" spans="1:40" s="908" customFormat="1" ht="30" customHeight="1" x14ac:dyDescent="0.25">
      <c r="A4" s="1951" t="s">
        <v>1855</v>
      </c>
      <c r="B4" s="1986" t="s">
        <v>1552</v>
      </c>
      <c r="C4" s="2161" t="s">
        <v>1468</v>
      </c>
      <c r="D4" s="2168" t="s">
        <v>1553</v>
      </c>
      <c r="E4" s="2161" t="s">
        <v>1463</v>
      </c>
      <c r="F4" s="2161" t="s">
        <v>1737</v>
      </c>
      <c r="G4" s="2161" t="s">
        <v>1554</v>
      </c>
      <c r="H4" s="784" t="s">
        <v>1555</v>
      </c>
      <c r="I4" s="1046"/>
      <c r="J4" s="1041"/>
      <c r="K4" s="1041"/>
      <c r="L4" s="1041"/>
      <c r="M4" s="1041"/>
      <c r="N4" s="1040"/>
      <c r="O4" s="1041"/>
      <c r="P4" s="1041"/>
      <c r="Q4" s="1041"/>
      <c r="R4" s="1041"/>
      <c r="S4" s="1041"/>
      <c r="T4" s="1129"/>
      <c r="U4" s="991" t="s">
        <v>1906</v>
      </c>
      <c r="V4" s="2143" t="s">
        <v>1906</v>
      </c>
      <c r="W4" s="2104" t="s">
        <v>2158</v>
      </c>
      <c r="X4" s="1099"/>
      <c r="Y4" s="2101" t="s">
        <v>85</v>
      </c>
      <c r="Z4" s="1619" t="s">
        <v>1906</v>
      </c>
      <c r="AA4" s="2099" t="s">
        <v>1906</v>
      </c>
      <c r="AB4" s="1960" t="s">
        <v>1906</v>
      </c>
      <c r="AC4" s="2104" t="s">
        <v>2322</v>
      </c>
      <c r="AD4" s="2104" t="s">
        <v>2182</v>
      </c>
      <c r="AE4" s="1619" t="s">
        <v>1906</v>
      </c>
      <c r="AF4" s="2099" t="s">
        <v>1906</v>
      </c>
      <c r="AG4" s="1960" t="s">
        <v>1906</v>
      </c>
      <c r="AH4" s="2104" t="s">
        <v>2733</v>
      </c>
      <c r="AI4" s="2104" t="s">
        <v>2720</v>
      </c>
      <c r="AJ4" s="1805">
        <v>1</v>
      </c>
      <c r="AK4" s="2099">
        <v>1</v>
      </c>
      <c r="AL4" s="1960"/>
      <c r="AM4" s="2104" t="s">
        <v>3008</v>
      </c>
      <c r="AN4" s="2104"/>
    </row>
    <row r="5" spans="1:40" s="908" customFormat="1" ht="24" customHeight="1" x14ac:dyDescent="0.25">
      <c r="A5" s="1951"/>
      <c r="B5" s="1986"/>
      <c r="C5" s="2161"/>
      <c r="D5" s="2168"/>
      <c r="E5" s="2161"/>
      <c r="F5" s="2161"/>
      <c r="G5" s="2161"/>
      <c r="H5" s="784" t="s">
        <v>1248</v>
      </c>
      <c r="I5" s="1064"/>
      <c r="J5" s="1044"/>
      <c r="K5" s="1044"/>
      <c r="L5" s="1044"/>
      <c r="M5" s="1044"/>
      <c r="N5" s="1043"/>
      <c r="O5" s="1044"/>
      <c r="P5" s="1044"/>
      <c r="Q5" s="1044"/>
      <c r="R5" s="1044"/>
      <c r="S5" s="1044"/>
      <c r="T5" s="1130"/>
      <c r="U5" s="991" t="s">
        <v>1906</v>
      </c>
      <c r="V5" s="2144"/>
      <c r="W5" s="2152"/>
      <c r="X5" s="1101"/>
      <c r="Y5" s="2102"/>
      <c r="Z5" s="1619" t="s">
        <v>1906</v>
      </c>
      <c r="AA5" s="2159"/>
      <c r="AB5" s="1961"/>
      <c r="AC5" s="2152"/>
      <c r="AD5" s="2152"/>
      <c r="AE5" s="1619" t="s">
        <v>1906</v>
      </c>
      <c r="AF5" s="2159"/>
      <c r="AG5" s="1961"/>
      <c r="AH5" s="2152"/>
      <c r="AI5" s="2152"/>
      <c r="AJ5" s="1805">
        <v>1</v>
      </c>
      <c r="AK5" s="2159"/>
      <c r="AL5" s="1961"/>
      <c r="AM5" s="2152"/>
      <c r="AN5" s="2152"/>
    </row>
    <row r="6" spans="1:40" s="908" customFormat="1" ht="30" customHeight="1" x14ac:dyDescent="0.25">
      <c r="A6" s="1951"/>
      <c r="B6" s="1986"/>
      <c r="C6" s="2161"/>
      <c r="D6" s="2168"/>
      <c r="E6" s="2161"/>
      <c r="F6" s="2161"/>
      <c r="G6" s="2161"/>
      <c r="H6" s="785" t="s">
        <v>1504</v>
      </c>
      <c r="I6" s="1042"/>
      <c r="J6" s="1043"/>
      <c r="K6" s="1043"/>
      <c r="L6" s="1043"/>
      <c r="M6" s="1043"/>
      <c r="N6" s="1043"/>
      <c r="O6" s="1043"/>
      <c r="P6" s="1043"/>
      <c r="Q6" s="1043"/>
      <c r="R6" s="1043"/>
      <c r="S6" s="1043"/>
      <c r="T6" s="1130"/>
      <c r="U6" s="991" t="s">
        <v>1906</v>
      </c>
      <c r="V6" s="2144"/>
      <c r="W6" s="2152"/>
      <c r="X6" s="1101"/>
      <c r="Y6" s="2102"/>
      <c r="Z6" s="1619" t="s">
        <v>1906</v>
      </c>
      <c r="AA6" s="2159"/>
      <c r="AB6" s="1961"/>
      <c r="AC6" s="2152"/>
      <c r="AD6" s="2152"/>
      <c r="AE6" s="1619" t="s">
        <v>1906</v>
      </c>
      <c r="AF6" s="2159"/>
      <c r="AG6" s="1961"/>
      <c r="AH6" s="2152"/>
      <c r="AI6" s="2152"/>
      <c r="AJ6" s="1805">
        <v>1</v>
      </c>
      <c r="AK6" s="2159"/>
      <c r="AL6" s="1961"/>
      <c r="AM6" s="2152"/>
      <c r="AN6" s="2152"/>
    </row>
    <row r="7" spans="1:40" s="908" customFormat="1" ht="22.5" customHeight="1" x14ac:dyDescent="0.25">
      <c r="A7" s="1951"/>
      <c r="B7" s="1986"/>
      <c r="C7" s="2161"/>
      <c r="D7" s="2168"/>
      <c r="E7" s="2161"/>
      <c r="F7" s="2161"/>
      <c r="G7" s="2161"/>
      <c r="H7" s="785" t="s">
        <v>1505</v>
      </c>
      <c r="I7" s="1042"/>
      <c r="J7" s="1043"/>
      <c r="K7" s="1043"/>
      <c r="L7" s="1044"/>
      <c r="M7" s="1044"/>
      <c r="N7" s="1043"/>
      <c r="O7" s="1044"/>
      <c r="P7" s="1044"/>
      <c r="Q7" s="1044"/>
      <c r="R7" s="1044"/>
      <c r="S7" s="1044"/>
      <c r="T7" s="1130"/>
      <c r="U7" s="991" t="s">
        <v>1906</v>
      </c>
      <c r="V7" s="2144"/>
      <c r="W7" s="2152"/>
      <c r="X7" s="1101"/>
      <c r="Y7" s="2102"/>
      <c r="Z7" s="1619" t="s">
        <v>1906</v>
      </c>
      <c r="AA7" s="2159"/>
      <c r="AB7" s="1961"/>
      <c r="AC7" s="2152"/>
      <c r="AD7" s="2152"/>
      <c r="AE7" s="1619" t="s">
        <v>1906</v>
      </c>
      <c r="AF7" s="2159"/>
      <c r="AG7" s="1961"/>
      <c r="AH7" s="2152"/>
      <c r="AI7" s="2152"/>
      <c r="AJ7" s="1805">
        <v>1</v>
      </c>
      <c r="AK7" s="2159"/>
      <c r="AL7" s="1961"/>
      <c r="AM7" s="2152"/>
      <c r="AN7" s="2152"/>
    </row>
    <row r="8" spans="1:40" s="908" customFormat="1" ht="44.25" customHeight="1" x14ac:dyDescent="0.25">
      <c r="A8" s="1951"/>
      <c r="B8" s="1986"/>
      <c r="C8" s="2161"/>
      <c r="D8" s="2168"/>
      <c r="E8" s="2161"/>
      <c r="F8" s="2161"/>
      <c r="G8" s="2161"/>
      <c r="H8" s="785" t="s">
        <v>1506</v>
      </c>
      <c r="I8" s="1120"/>
      <c r="J8" s="1121"/>
      <c r="K8" s="1121"/>
      <c r="L8" s="1121"/>
      <c r="M8" s="1121"/>
      <c r="N8" s="1121"/>
      <c r="O8" s="1121"/>
      <c r="P8" s="1121"/>
      <c r="Q8" s="1121"/>
      <c r="R8" s="1121"/>
      <c r="S8" s="1121"/>
      <c r="T8" s="1131"/>
      <c r="U8" s="1102" t="s">
        <v>1906</v>
      </c>
      <c r="V8" s="2145"/>
      <c r="W8" s="2105"/>
      <c r="X8" s="1101"/>
      <c r="Y8" s="2102"/>
      <c r="Z8" s="1607" t="s">
        <v>1906</v>
      </c>
      <c r="AA8" s="2160"/>
      <c r="AB8" s="1962"/>
      <c r="AC8" s="2105"/>
      <c r="AD8" s="2105"/>
      <c r="AE8" s="1607" t="s">
        <v>1906</v>
      </c>
      <c r="AF8" s="2160"/>
      <c r="AG8" s="1962"/>
      <c r="AH8" s="2105"/>
      <c r="AI8" s="2105"/>
      <c r="AJ8" s="1805">
        <v>1</v>
      </c>
      <c r="AK8" s="2160"/>
      <c r="AL8" s="1962"/>
      <c r="AM8" s="2105"/>
      <c r="AN8" s="2105"/>
    </row>
    <row r="9" spans="1:40" s="908" customFormat="1" ht="165" x14ac:dyDescent="0.25">
      <c r="A9" s="1951" t="s">
        <v>1482</v>
      </c>
      <c r="B9" s="1986" t="s">
        <v>1583</v>
      </c>
      <c r="C9" s="2039" t="s">
        <v>1856</v>
      </c>
      <c r="D9" s="2040" t="s">
        <v>1585</v>
      </c>
      <c r="E9" s="2167" t="s">
        <v>1744</v>
      </c>
      <c r="F9" s="2167" t="s">
        <v>1745</v>
      </c>
      <c r="G9" s="2039" t="s">
        <v>1847</v>
      </c>
      <c r="H9" s="1103" t="s">
        <v>1587</v>
      </c>
      <c r="I9" s="1048" t="s">
        <v>1397</v>
      </c>
      <c r="J9" s="1049" t="s">
        <v>1397</v>
      </c>
      <c r="K9" s="1049" t="s">
        <v>1397</v>
      </c>
      <c r="L9" s="1049" t="s">
        <v>1397</v>
      </c>
      <c r="M9" s="1049" t="s">
        <v>1397</v>
      </c>
      <c r="N9" s="1049" t="s">
        <v>1397</v>
      </c>
      <c r="O9" s="1049" t="s">
        <v>1397</v>
      </c>
      <c r="P9" s="1049" t="s">
        <v>1397</v>
      </c>
      <c r="Q9" s="1049" t="s">
        <v>1397</v>
      </c>
      <c r="R9" s="1049" t="s">
        <v>1397</v>
      </c>
      <c r="S9" s="1049" t="s">
        <v>1397</v>
      </c>
      <c r="T9" s="1132" t="s">
        <v>1397</v>
      </c>
      <c r="U9" s="1122">
        <v>1</v>
      </c>
      <c r="V9" s="2146">
        <v>0.88</v>
      </c>
      <c r="W9" s="1118" t="s">
        <v>1958</v>
      </c>
      <c r="X9" s="1104">
        <v>43465</v>
      </c>
      <c r="Y9" s="2164" t="s">
        <v>128</v>
      </c>
      <c r="Z9" s="1615">
        <v>1</v>
      </c>
      <c r="AA9" s="2117">
        <v>0.93</v>
      </c>
      <c r="AB9" s="1626" t="s">
        <v>2183</v>
      </c>
      <c r="AC9" s="1618" t="s">
        <v>2323</v>
      </c>
      <c r="AD9" s="2104" t="s">
        <v>2185</v>
      </c>
      <c r="AE9" s="1615">
        <v>1</v>
      </c>
      <c r="AF9" s="2117">
        <v>0.97</v>
      </c>
      <c r="AG9" s="1066" t="s">
        <v>2183</v>
      </c>
      <c r="AH9" s="1618" t="s">
        <v>2721</v>
      </c>
      <c r="AI9" s="2104"/>
      <c r="AJ9" s="1801">
        <v>1</v>
      </c>
      <c r="AK9" s="2117">
        <v>1</v>
      </c>
      <c r="AL9" s="1804" t="s">
        <v>2183</v>
      </c>
      <c r="AM9" s="1803" t="s">
        <v>3009</v>
      </c>
      <c r="AN9" s="1803"/>
    </row>
    <row r="10" spans="1:40" s="908" customFormat="1" ht="60" x14ac:dyDescent="0.25">
      <c r="A10" s="1951"/>
      <c r="B10" s="1986"/>
      <c r="C10" s="2039"/>
      <c r="D10" s="2040"/>
      <c r="E10" s="2167"/>
      <c r="F10" s="2167"/>
      <c r="G10" s="2039"/>
      <c r="H10" s="1103" t="s">
        <v>1588</v>
      </c>
      <c r="I10" s="1051" t="s">
        <v>1397</v>
      </c>
      <c r="J10" s="1052" t="s">
        <v>1397</v>
      </c>
      <c r="K10" s="1052" t="s">
        <v>1397</v>
      </c>
      <c r="L10" s="1052" t="s">
        <v>1397</v>
      </c>
      <c r="M10" s="1052" t="s">
        <v>1397</v>
      </c>
      <c r="N10" s="1052" t="s">
        <v>1397</v>
      </c>
      <c r="O10" s="1052" t="s">
        <v>1397</v>
      </c>
      <c r="P10" s="1052" t="s">
        <v>1397</v>
      </c>
      <c r="Q10" s="1052" t="s">
        <v>1397</v>
      </c>
      <c r="R10" s="1052" t="s">
        <v>1397</v>
      </c>
      <c r="S10" s="1052" t="s">
        <v>1397</v>
      </c>
      <c r="T10" s="1088" t="s">
        <v>1397</v>
      </c>
      <c r="U10" s="1123">
        <v>1</v>
      </c>
      <c r="V10" s="2147"/>
      <c r="W10" s="1119" t="s">
        <v>1959</v>
      </c>
      <c r="X10" s="1105">
        <v>43466</v>
      </c>
      <c r="Y10" s="2165"/>
      <c r="Z10" s="1615">
        <v>1</v>
      </c>
      <c r="AA10" s="2149"/>
      <c r="AB10" s="1626" t="s">
        <v>2183</v>
      </c>
      <c r="AC10" s="1609" t="s">
        <v>2160</v>
      </c>
      <c r="AD10" s="2152"/>
      <c r="AE10" s="1615">
        <v>1</v>
      </c>
      <c r="AF10" s="2149"/>
      <c r="AG10" s="1066" t="s">
        <v>2183</v>
      </c>
      <c r="AH10" s="1609" t="s">
        <v>2722</v>
      </c>
      <c r="AI10" s="2152"/>
      <c r="AJ10" s="1801">
        <v>1</v>
      </c>
      <c r="AK10" s="2149"/>
      <c r="AL10" s="1804" t="s">
        <v>2183</v>
      </c>
      <c r="AM10" s="1803" t="s">
        <v>3003</v>
      </c>
      <c r="AN10" s="1770"/>
    </row>
    <row r="11" spans="1:40" s="908" customFormat="1" ht="132.75" customHeight="1" x14ac:dyDescent="0.25">
      <c r="A11" s="1951"/>
      <c r="B11" s="1986"/>
      <c r="C11" s="2039"/>
      <c r="D11" s="2040"/>
      <c r="E11" s="2167"/>
      <c r="F11" s="2167"/>
      <c r="G11" s="2039"/>
      <c r="H11" s="1103" t="s">
        <v>1470</v>
      </c>
      <c r="I11" s="1053"/>
      <c r="J11" s="1054"/>
      <c r="K11" s="1054"/>
      <c r="L11" s="1054" t="s">
        <v>1397</v>
      </c>
      <c r="M11" s="1054" t="s">
        <v>1397</v>
      </c>
      <c r="N11" s="1054" t="s">
        <v>1397</v>
      </c>
      <c r="O11" s="1056"/>
      <c r="P11" s="1056"/>
      <c r="Q11" s="1054" t="s">
        <v>1397</v>
      </c>
      <c r="R11" s="1056"/>
      <c r="S11" s="1056"/>
      <c r="T11" s="1133"/>
      <c r="U11" s="1124" t="s">
        <v>1906</v>
      </c>
      <c r="V11" s="2148"/>
      <c r="W11" s="1106" t="s">
        <v>1960</v>
      </c>
      <c r="X11" s="1107">
        <v>43467</v>
      </c>
      <c r="Y11" s="2166"/>
      <c r="Z11" s="1607">
        <v>0.8</v>
      </c>
      <c r="AA11" s="2118"/>
      <c r="AB11" s="1626" t="s">
        <v>2184</v>
      </c>
      <c r="AC11" s="1618" t="s">
        <v>2324</v>
      </c>
      <c r="AD11" s="2105"/>
      <c r="AE11" s="1607">
        <v>0.9</v>
      </c>
      <c r="AF11" s="2118"/>
      <c r="AG11" s="1066" t="s">
        <v>2184</v>
      </c>
      <c r="AH11" s="1618" t="s">
        <v>2723</v>
      </c>
      <c r="AI11" s="2105"/>
      <c r="AJ11" s="1800">
        <v>0.9</v>
      </c>
      <c r="AK11" s="2118"/>
      <c r="AL11" s="1804" t="s">
        <v>2184</v>
      </c>
      <c r="AM11" s="1803" t="s">
        <v>3004</v>
      </c>
      <c r="AN11" s="1770"/>
    </row>
    <row r="12" spans="1:40" s="908" customFormat="1" ht="90" x14ac:dyDescent="0.25">
      <c r="A12" s="1951"/>
      <c r="B12" s="1986"/>
      <c r="C12" s="2161" t="s">
        <v>1749</v>
      </c>
      <c r="D12" s="2162" t="s">
        <v>1589</v>
      </c>
      <c r="E12" s="2163" t="s">
        <v>1746</v>
      </c>
      <c r="F12" s="2163" t="s">
        <v>1747</v>
      </c>
      <c r="G12" s="2161" t="s">
        <v>1590</v>
      </c>
      <c r="H12" s="1103" t="s">
        <v>1591</v>
      </c>
      <c r="I12" s="1048"/>
      <c r="J12" s="1049"/>
      <c r="K12" s="1049" t="s">
        <v>1397</v>
      </c>
      <c r="L12" s="1049"/>
      <c r="M12" s="1049"/>
      <c r="N12" s="1049"/>
      <c r="O12" s="1049"/>
      <c r="P12" s="1049"/>
      <c r="Q12" s="1049"/>
      <c r="R12" s="1049"/>
      <c r="S12" s="1049"/>
      <c r="T12" s="1132"/>
      <c r="U12" s="1125">
        <v>1</v>
      </c>
      <c r="V12" s="2140">
        <v>1</v>
      </c>
      <c r="W12" s="1108" t="s">
        <v>2325</v>
      </c>
      <c r="X12" s="1104">
        <v>43465</v>
      </c>
      <c r="Y12" s="2164" t="s">
        <v>136</v>
      </c>
      <c r="Z12" s="1607">
        <v>1</v>
      </c>
      <c r="AA12" s="2156">
        <v>1</v>
      </c>
      <c r="AB12" s="1628" t="s">
        <v>2326</v>
      </c>
      <c r="AC12" s="1628" t="s">
        <v>2327</v>
      </c>
      <c r="AD12" s="2153" t="s">
        <v>2134</v>
      </c>
      <c r="AE12" s="1607">
        <v>1</v>
      </c>
      <c r="AF12" s="2156">
        <v>1</v>
      </c>
      <c r="AG12" s="782" t="s">
        <v>2326</v>
      </c>
      <c r="AH12" s="1628" t="s">
        <v>2724</v>
      </c>
      <c r="AI12" s="2153"/>
      <c r="AJ12" s="1800">
        <v>1</v>
      </c>
      <c r="AK12" s="2156"/>
      <c r="AL12" s="1804" t="s">
        <v>2326</v>
      </c>
      <c r="AM12" s="1804" t="s">
        <v>3005</v>
      </c>
      <c r="AN12" s="1108"/>
    </row>
    <row r="13" spans="1:40" s="908" customFormat="1" ht="150" x14ac:dyDescent="0.25">
      <c r="A13" s="1951"/>
      <c r="B13" s="1986"/>
      <c r="C13" s="2161"/>
      <c r="D13" s="2162"/>
      <c r="E13" s="2163"/>
      <c r="F13" s="2163"/>
      <c r="G13" s="2161"/>
      <c r="H13" s="1103" t="s">
        <v>1477</v>
      </c>
      <c r="I13" s="1051"/>
      <c r="J13" s="1052"/>
      <c r="K13" s="1052" t="s">
        <v>1397</v>
      </c>
      <c r="L13" s="1052" t="s">
        <v>1397</v>
      </c>
      <c r="M13" s="1052" t="s">
        <v>1397</v>
      </c>
      <c r="N13" s="1052" t="s">
        <v>1397</v>
      </c>
      <c r="O13" s="1052" t="s">
        <v>1397</v>
      </c>
      <c r="P13" s="1052" t="s">
        <v>1397</v>
      </c>
      <c r="Q13" s="1052" t="s">
        <v>1397</v>
      </c>
      <c r="R13" s="1052" t="s">
        <v>1397</v>
      </c>
      <c r="S13" s="1052" t="s">
        <v>1397</v>
      </c>
      <c r="T13" s="1088" t="s">
        <v>1397</v>
      </c>
      <c r="U13" s="1126">
        <v>1</v>
      </c>
      <c r="V13" s="2141"/>
      <c r="W13" s="784" t="s">
        <v>2328</v>
      </c>
      <c r="X13" s="1105">
        <v>43465</v>
      </c>
      <c r="Y13" s="2165"/>
      <c r="Z13" s="1607">
        <v>1</v>
      </c>
      <c r="AA13" s="2157"/>
      <c r="AB13" s="784" t="s">
        <v>2186</v>
      </c>
      <c r="AC13" s="784" t="s">
        <v>2734</v>
      </c>
      <c r="AD13" s="2154"/>
      <c r="AE13" s="1607">
        <v>1</v>
      </c>
      <c r="AF13" s="2157"/>
      <c r="AG13" s="1689" t="s">
        <v>2736</v>
      </c>
      <c r="AH13" s="784" t="s">
        <v>2725</v>
      </c>
      <c r="AI13" s="2154"/>
      <c r="AJ13" s="1800">
        <v>1</v>
      </c>
      <c r="AK13" s="2157"/>
      <c r="AL13" s="784" t="s">
        <v>2186</v>
      </c>
      <c r="AM13" s="784" t="s">
        <v>3001</v>
      </c>
      <c r="AN13" s="1108"/>
    </row>
    <row r="14" spans="1:40" s="908" customFormat="1" ht="88.5" customHeight="1" x14ac:dyDescent="0.25">
      <c r="A14" s="1951"/>
      <c r="B14" s="1986"/>
      <c r="C14" s="2161"/>
      <c r="D14" s="2162"/>
      <c r="E14" s="2163"/>
      <c r="F14" s="2163"/>
      <c r="G14" s="2161"/>
      <c r="H14" s="1103" t="s">
        <v>139</v>
      </c>
      <c r="I14" s="1053" t="s">
        <v>1397</v>
      </c>
      <c r="J14" s="1054" t="s">
        <v>1397</v>
      </c>
      <c r="K14" s="1054" t="s">
        <v>1397</v>
      </c>
      <c r="L14" s="1054" t="s">
        <v>1397</v>
      </c>
      <c r="M14" s="1054" t="s">
        <v>1397</v>
      </c>
      <c r="N14" s="1054" t="s">
        <v>1397</v>
      </c>
      <c r="O14" s="1054" t="s">
        <v>1397</v>
      </c>
      <c r="P14" s="1054" t="s">
        <v>1397</v>
      </c>
      <c r="Q14" s="1054" t="s">
        <v>1397</v>
      </c>
      <c r="R14" s="1054" t="s">
        <v>1397</v>
      </c>
      <c r="S14" s="1054" t="s">
        <v>1397</v>
      </c>
      <c r="T14" s="1134" t="s">
        <v>1397</v>
      </c>
      <c r="U14" s="1127">
        <v>1</v>
      </c>
      <c r="V14" s="2142"/>
      <c r="W14" s="755" t="s">
        <v>2329</v>
      </c>
      <c r="X14" s="1107">
        <v>43465</v>
      </c>
      <c r="Y14" s="2166"/>
      <c r="Z14" s="1607">
        <v>1</v>
      </c>
      <c r="AA14" s="2158"/>
      <c r="AB14" s="1628" t="s">
        <v>2161</v>
      </c>
      <c r="AC14" s="1628" t="s">
        <v>2161</v>
      </c>
      <c r="AD14" s="2155"/>
      <c r="AE14" s="1607">
        <v>1</v>
      </c>
      <c r="AF14" s="2158"/>
      <c r="AG14" s="782" t="s">
        <v>2161</v>
      </c>
      <c r="AH14" s="1628" t="s">
        <v>2161</v>
      </c>
      <c r="AI14" s="2155"/>
      <c r="AJ14" s="1800">
        <v>1</v>
      </c>
      <c r="AK14" s="2158"/>
      <c r="AL14" s="1804"/>
      <c r="AM14" s="1804" t="s">
        <v>3006</v>
      </c>
      <c r="AN14" s="1108"/>
    </row>
    <row r="15" spans="1:40" s="908" customFormat="1" ht="48" customHeight="1" x14ac:dyDescent="0.25">
      <c r="A15" s="1951"/>
      <c r="B15" s="1986"/>
      <c r="C15" s="2039" t="s">
        <v>1471</v>
      </c>
      <c r="D15" s="2039" t="s">
        <v>141</v>
      </c>
      <c r="E15" s="2039" t="s">
        <v>1750</v>
      </c>
      <c r="F15" s="2039" t="s">
        <v>143</v>
      </c>
      <c r="G15" s="2039" t="s">
        <v>1592</v>
      </c>
      <c r="H15" s="1103" t="s">
        <v>2269</v>
      </c>
      <c r="I15" s="1048" t="s">
        <v>1397</v>
      </c>
      <c r="J15" s="1049" t="s">
        <v>1397</v>
      </c>
      <c r="K15" s="1049" t="s">
        <v>1397</v>
      </c>
      <c r="L15" s="1050"/>
      <c r="M15" s="1050"/>
      <c r="N15" s="1049" t="s">
        <v>1397</v>
      </c>
      <c r="O15" s="1050"/>
      <c r="P15" s="1050"/>
      <c r="Q15" s="1049" t="s">
        <v>1397</v>
      </c>
      <c r="R15" s="1050"/>
      <c r="S15" s="1050"/>
      <c r="T15" s="1132"/>
      <c r="U15" s="1125">
        <v>1</v>
      </c>
      <c r="V15" s="2140">
        <v>1</v>
      </c>
      <c r="W15" s="1108" t="s">
        <v>2330</v>
      </c>
      <c r="X15" s="1104">
        <v>43465</v>
      </c>
      <c r="Y15" s="2164" t="s">
        <v>144</v>
      </c>
      <c r="Z15" s="1607">
        <v>1</v>
      </c>
      <c r="AA15" s="2156">
        <v>1</v>
      </c>
      <c r="AB15" s="1617" t="s">
        <v>2331</v>
      </c>
      <c r="AC15" s="1609" t="s">
        <v>2187</v>
      </c>
      <c r="AD15" s="2153" t="s">
        <v>2332</v>
      </c>
      <c r="AE15" s="1607">
        <v>1</v>
      </c>
      <c r="AF15" s="2156">
        <v>1</v>
      </c>
      <c r="AG15" s="1690" t="s">
        <v>2331</v>
      </c>
      <c r="AH15" s="1609" t="s">
        <v>2726</v>
      </c>
      <c r="AI15" s="2153" t="s">
        <v>2737</v>
      </c>
      <c r="AJ15" s="1800">
        <v>1</v>
      </c>
      <c r="AK15" s="2156">
        <v>1</v>
      </c>
      <c r="AL15" s="1804" t="s">
        <v>2331</v>
      </c>
      <c r="AM15" s="1803" t="s">
        <v>3007</v>
      </c>
      <c r="AN15" s="1108"/>
    </row>
    <row r="16" spans="1:40" s="908" customFormat="1" ht="75" x14ac:dyDescent="0.25">
      <c r="A16" s="1951"/>
      <c r="B16" s="1986"/>
      <c r="C16" s="2039"/>
      <c r="D16" s="2039"/>
      <c r="E16" s="2039"/>
      <c r="F16" s="2039"/>
      <c r="G16" s="2039"/>
      <c r="H16" s="1103" t="s">
        <v>2270</v>
      </c>
      <c r="I16" s="1051"/>
      <c r="J16" s="1052" t="s">
        <v>1397</v>
      </c>
      <c r="K16" s="1052" t="s">
        <v>1397</v>
      </c>
      <c r="L16" s="1052"/>
      <c r="M16" s="1052"/>
      <c r="N16" s="1109" t="s">
        <v>1397</v>
      </c>
      <c r="O16" s="1052"/>
      <c r="P16" s="1052"/>
      <c r="Q16" s="1109" t="s">
        <v>1397</v>
      </c>
      <c r="R16" s="1052"/>
      <c r="S16" s="1052"/>
      <c r="T16" s="1088"/>
      <c r="U16" s="1126">
        <v>1</v>
      </c>
      <c r="V16" s="2141"/>
      <c r="W16" s="1110" t="s">
        <v>2333</v>
      </c>
      <c r="X16" s="1105">
        <v>43465</v>
      </c>
      <c r="Y16" s="2165"/>
      <c r="Z16" s="1607">
        <v>1</v>
      </c>
      <c r="AA16" s="2157"/>
      <c r="AB16" s="1110"/>
      <c r="AC16" s="1618" t="s">
        <v>2334</v>
      </c>
      <c r="AD16" s="2154"/>
      <c r="AE16" s="1607">
        <v>1</v>
      </c>
      <c r="AF16" s="2157"/>
      <c r="AG16" s="1103"/>
      <c r="AH16" s="1618" t="s">
        <v>2791</v>
      </c>
      <c r="AI16" s="2154"/>
      <c r="AJ16" s="1802" t="s">
        <v>3011</v>
      </c>
      <c r="AK16" s="2157"/>
      <c r="AL16" s="784"/>
      <c r="AM16" s="1960" t="s">
        <v>3002</v>
      </c>
      <c r="AN16" s="1108"/>
    </row>
    <row r="17" spans="1:40" s="908" customFormat="1" ht="165" customHeight="1" x14ac:dyDescent="0.25">
      <c r="A17" s="1951"/>
      <c r="B17" s="1986"/>
      <c r="C17" s="2039"/>
      <c r="D17" s="2039"/>
      <c r="E17" s="2039"/>
      <c r="F17" s="2039"/>
      <c r="G17" s="2039"/>
      <c r="H17" s="1103" t="s">
        <v>2271</v>
      </c>
      <c r="I17" s="1051"/>
      <c r="J17" s="1052"/>
      <c r="K17" s="1052"/>
      <c r="L17" s="1052" t="s">
        <v>1397</v>
      </c>
      <c r="M17" s="1052" t="s">
        <v>1397</v>
      </c>
      <c r="N17" s="1052" t="s">
        <v>1397</v>
      </c>
      <c r="O17" s="1087"/>
      <c r="P17" s="1052" t="s">
        <v>1397</v>
      </c>
      <c r="Q17" s="1052" t="s">
        <v>1397</v>
      </c>
      <c r="R17" s="1052" t="s">
        <v>1397</v>
      </c>
      <c r="S17" s="1052" t="s">
        <v>1397</v>
      </c>
      <c r="T17" s="1088"/>
      <c r="U17" s="1128" t="s">
        <v>1906</v>
      </c>
      <c r="V17" s="2141"/>
      <c r="W17" s="1108" t="s">
        <v>1961</v>
      </c>
      <c r="X17" s="1105">
        <v>43465</v>
      </c>
      <c r="Y17" s="2165"/>
      <c r="Z17" s="1607">
        <v>1</v>
      </c>
      <c r="AA17" s="2157"/>
      <c r="AB17" s="1617" t="s">
        <v>2190</v>
      </c>
      <c r="AC17" s="1618" t="s">
        <v>2335</v>
      </c>
      <c r="AD17" s="2154"/>
      <c r="AE17" s="1607">
        <v>1</v>
      </c>
      <c r="AF17" s="2157"/>
      <c r="AG17" s="1690" t="s">
        <v>2190</v>
      </c>
      <c r="AH17" s="1618" t="s">
        <v>2735</v>
      </c>
      <c r="AI17" s="2154"/>
      <c r="AJ17" s="1802" t="s">
        <v>3011</v>
      </c>
      <c r="AK17" s="2157"/>
      <c r="AL17" s="784"/>
      <c r="AM17" s="1961"/>
      <c r="AN17" s="1108"/>
    </row>
    <row r="18" spans="1:40" s="908" customFormat="1" ht="75" x14ac:dyDescent="0.25">
      <c r="A18" s="1951"/>
      <c r="B18" s="1986"/>
      <c r="C18" s="2039"/>
      <c r="D18" s="2039"/>
      <c r="E18" s="2039"/>
      <c r="F18" s="2039"/>
      <c r="G18" s="2039"/>
      <c r="H18" s="1103" t="s">
        <v>2272</v>
      </c>
      <c r="I18" s="1051"/>
      <c r="J18" s="1052"/>
      <c r="K18" s="1052"/>
      <c r="L18" s="1052" t="s">
        <v>1397</v>
      </c>
      <c r="M18" s="1052" t="s">
        <v>1397</v>
      </c>
      <c r="N18" s="1052" t="s">
        <v>1397</v>
      </c>
      <c r="O18" s="1052" t="s">
        <v>1397</v>
      </c>
      <c r="P18" s="1052" t="s">
        <v>1397</v>
      </c>
      <c r="Q18" s="1052" t="s">
        <v>1397</v>
      </c>
      <c r="R18" s="1052" t="s">
        <v>1397</v>
      </c>
      <c r="S18" s="1052" t="s">
        <v>1397</v>
      </c>
      <c r="T18" s="1088" t="s">
        <v>1397</v>
      </c>
      <c r="U18" s="1128" t="s">
        <v>1906</v>
      </c>
      <c r="V18" s="2141"/>
      <c r="W18" s="789" t="s">
        <v>2336</v>
      </c>
      <c r="X18" s="1105">
        <v>43465</v>
      </c>
      <c r="Y18" s="2165"/>
      <c r="Z18" s="1607">
        <v>1</v>
      </c>
      <c r="AA18" s="2157"/>
      <c r="AB18" s="1617" t="s">
        <v>2190</v>
      </c>
      <c r="AC18" s="1103" t="s">
        <v>2274</v>
      </c>
      <c r="AD18" s="2154"/>
      <c r="AE18" s="1607">
        <v>1</v>
      </c>
      <c r="AF18" s="2157"/>
      <c r="AG18" s="1690" t="s">
        <v>2190</v>
      </c>
      <c r="AH18" s="1103" t="s">
        <v>2727</v>
      </c>
      <c r="AI18" s="2154"/>
      <c r="AJ18" s="1802" t="s">
        <v>3011</v>
      </c>
      <c r="AK18" s="2157"/>
      <c r="AL18" s="784"/>
      <c r="AM18" s="1961"/>
      <c r="AN18" s="1108"/>
    </row>
    <row r="19" spans="1:40" s="908" customFormat="1" ht="39" customHeight="1" x14ac:dyDescent="0.25">
      <c r="A19" s="1951"/>
      <c r="B19" s="1986"/>
      <c r="C19" s="2039"/>
      <c r="D19" s="2039"/>
      <c r="E19" s="2039"/>
      <c r="F19" s="2039"/>
      <c r="G19" s="2039"/>
      <c r="H19" s="1103" t="s">
        <v>149</v>
      </c>
      <c r="I19" s="1051"/>
      <c r="J19" s="1052"/>
      <c r="K19" s="1052"/>
      <c r="L19" s="1052" t="s">
        <v>1397</v>
      </c>
      <c r="M19" s="1052" t="s">
        <v>1397</v>
      </c>
      <c r="N19" s="1052" t="s">
        <v>1397</v>
      </c>
      <c r="O19" s="1052" t="s">
        <v>1397</v>
      </c>
      <c r="P19" s="1052" t="s">
        <v>1397</v>
      </c>
      <c r="Q19" s="1052" t="s">
        <v>1397</v>
      </c>
      <c r="R19" s="1052" t="s">
        <v>1397</v>
      </c>
      <c r="S19" s="1052" t="s">
        <v>1397</v>
      </c>
      <c r="T19" s="1088" t="s">
        <v>1397</v>
      </c>
      <c r="U19" s="1128" t="s">
        <v>1906</v>
      </c>
      <c r="V19" s="2141"/>
      <c r="W19" s="1110" t="s">
        <v>2337</v>
      </c>
      <c r="X19" s="1105">
        <v>43465</v>
      </c>
      <c r="Y19" s="2165"/>
      <c r="Z19" s="1607">
        <v>1</v>
      </c>
      <c r="AA19" s="2157"/>
      <c r="AB19" s="1617" t="s">
        <v>2190</v>
      </c>
      <c r="AC19" s="1609" t="s">
        <v>2188</v>
      </c>
      <c r="AD19" s="2154"/>
      <c r="AE19" s="1607">
        <v>1</v>
      </c>
      <c r="AF19" s="2157"/>
      <c r="AG19" s="1690" t="s">
        <v>2190</v>
      </c>
      <c r="AH19" s="1609" t="s">
        <v>2728</v>
      </c>
      <c r="AI19" s="2154"/>
      <c r="AJ19" s="1802" t="s">
        <v>3011</v>
      </c>
      <c r="AK19" s="2157"/>
      <c r="AL19" s="784"/>
      <c r="AM19" s="1961"/>
      <c r="AN19" s="1108"/>
    </row>
    <row r="20" spans="1:40" s="908" customFormat="1" ht="45" x14ac:dyDescent="0.25">
      <c r="A20" s="1951"/>
      <c r="B20" s="1986"/>
      <c r="C20" s="2039"/>
      <c r="D20" s="2039"/>
      <c r="E20" s="2039"/>
      <c r="F20" s="2039"/>
      <c r="G20" s="2039"/>
      <c r="H20" s="1103" t="s">
        <v>2273</v>
      </c>
      <c r="I20" s="1053"/>
      <c r="J20" s="1054"/>
      <c r="K20" s="1054"/>
      <c r="L20" s="1054" t="s">
        <v>1397</v>
      </c>
      <c r="M20" s="1054" t="s">
        <v>1397</v>
      </c>
      <c r="N20" s="1054" t="s">
        <v>1397</v>
      </c>
      <c r="O20" s="1054" t="s">
        <v>1397</v>
      </c>
      <c r="P20" s="1054" t="s">
        <v>1397</v>
      </c>
      <c r="Q20" s="1054" t="s">
        <v>1397</v>
      </c>
      <c r="R20" s="1054" t="s">
        <v>1397</v>
      </c>
      <c r="S20" s="1054" t="s">
        <v>1397</v>
      </c>
      <c r="T20" s="1134" t="s">
        <v>1397</v>
      </c>
      <c r="U20" s="1127" t="s">
        <v>1906</v>
      </c>
      <c r="V20" s="2142"/>
      <c r="W20" s="1110" t="s">
        <v>2338</v>
      </c>
      <c r="X20" s="1107">
        <v>43465</v>
      </c>
      <c r="Y20" s="2166"/>
      <c r="Z20" s="1607">
        <v>1</v>
      </c>
      <c r="AA20" s="2158"/>
      <c r="AB20" s="1617" t="s">
        <v>2339</v>
      </c>
      <c r="AC20" s="1609" t="s">
        <v>2189</v>
      </c>
      <c r="AD20" s="2155"/>
      <c r="AE20" s="1607">
        <v>1</v>
      </c>
      <c r="AF20" s="2158"/>
      <c r="AG20" s="1690" t="s">
        <v>2339</v>
      </c>
      <c r="AH20" s="1658" t="s">
        <v>2732</v>
      </c>
      <c r="AI20" s="2155"/>
      <c r="AJ20" s="1802" t="s">
        <v>3011</v>
      </c>
      <c r="AK20" s="2158"/>
      <c r="AL20" s="784"/>
      <c r="AM20" s="1962"/>
      <c r="AN20" s="1108"/>
    </row>
    <row r="21" spans="1:40" x14ac:dyDescent="0.25">
      <c r="A21" s="902" t="s">
        <v>2280</v>
      </c>
      <c r="B21" s="903"/>
      <c r="C21" s="891"/>
      <c r="D21" s="892"/>
      <c r="E21" s="891"/>
      <c r="F21" s="891"/>
      <c r="G21" s="891"/>
      <c r="H21" s="893"/>
      <c r="I21" s="1077"/>
      <c r="J21" s="1008"/>
      <c r="K21" s="1008"/>
      <c r="L21" s="1007"/>
      <c r="M21" s="1007"/>
      <c r="N21" s="1007"/>
      <c r="O21" s="1007"/>
      <c r="P21" s="1007"/>
      <c r="Q21" s="1007"/>
      <c r="R21" s="1115"/>
      <c r="S21" s="902"/>
      <c r="T21" s="902"/>
      <c r="U21" s="902"/>
      <c r="V21" s="902"/>
      <c r="W21" s="902"/>
      <c r="X21" s="902"/>
      <c r="Y21" s="902"/>
      <c r="Z21" s="902"/>
      <c r="AA21" s="1013">
        <v>0.98</v>
      </c>
      <c r="AB21" s="915"/>
      <c r="AC21" s="1112"/>
      <c r="AD21" s="1382"/>
      <c r="AE21" s="902"/>
      <c r="AF21" s="1013">
        <v>0.99</v>
      </c>
      <c r="AG21" s="915"/>
      <c r="AH21" s="1112"/>
      <c r="AI21" s="1382"/>
      <c r="AJ21" s="1771"/>
      <c r="AK21" s="1013">
        <v>1</v>
      </c>
      <c r="AL21" s="915"/>
      <c r="AM21" s="1112"/>
      <c r="AN21" s="1382"/>
    </row>
    <row r="22" spans="1:40" ht="18" customHeight="1" x14ac:dyDescent="0.25">
      <c r="A22" s="902"/>
      <c r="B22" s="903"/>
      <c r="C22" s="891"/>
      <c r="D22" s="892"/>
      <c r="E22" s="891"/>
      <c r="F22" s="891"/>
      <c r="G22" s="891"/>
      <c r="H22" s="893"/>
      <c r="I22" s="968"/>
      <c r="J22" s="969"/>
      <c r="K22" s="969"/>
      <c r="L22" s="969"/>
      <c r="M22" s="969"/>
      <c r="N22" s="969"/>
      <c r="O22" s="969"/>
      <c r="P22" s="969"/>
      <c r="Q22" s="969"/>
      <c r="R22" s="1083"/>
      <c r="S22" s="994"/>
      <c r="T22" s="994"/>
      <c r="U22" s="1181" t="s">
        <v>1962</v>
      </c>
      <c r="V22" s="1383">
        <v>0.96</v>
      </c>
      <c r="W22" s="1384" t="s">
        <v>1963</v>
      </c>
      <c r="X22" s="994"/>
      <c r="Y22" s="994"/>
      <c r="Z22" s="892"/>
      <c r="AA22" s="892"/>
      <c r="AB22" s="915"/>
      <c r="AC22" s="915"/>
      <c r="AE22" s="892"/>
      <c r="AF22" s="892"/>
      <c r="AG22" s="915"/>
      <c r="AH22" s="915"/>
      <c r="AJ22" s="1772"/>
      <c r="AK22" s="1772"/>
      <c r="AL22" s="915"/>
      <c r="AM22" s="915"/>
      <c r="AN22" s="1098"/>
    </row>
    <row r="23" spans="1:40" ht="18" customHeight="1" x14ac:dyDescent="0.25">
      <c r="C23" s="894"/>
      <c r="E23" s="894"/>
      <c r="F23" s="894"/>
      <c r="G23" s="894"/>
      <c r="H23" s="895"/>
      <c r="U23" s="896" t="s">
        <v>1964</v>
      </c>
      <c r="V23" s="896">
        <v>4</v>
      </c>
      <c r="W23" s="1113">
        <v>0.24</v>
      </c>
      <c r="AL23" s="1098"/>
      <c r="AM23" s="1098"/>
      <c r="AN23" s="1098"/>
    </row>
    <row r="24" spans="1:40" x14ac:dyDescent="0.25">
      <c r="C24" s="894"/>
      <c r="E24" s="894"/>
      <c r="F24" s="894"/>
      <c r="G24" s="894"/>
      <c r="H24" s="895"/>
      <c r="Z24" s="1140" t="s">
        <v>2406</v>
      </c>
      <c r="AA24" s="1141" t="s">
        <v>2403</v>
      </c>
      <c r="AE24" s="1140" t="s">
        <v>2406</v>
      </c>
      <c r="AF24" s="1141" t="s">
        <v>2403</v>
      </c>
      <c r="AJ24" s="1140" t="s">
        <v>2406</v>
      </c>
      <c r="AK24" s="1141" t="s">
        <v>3061</v>
      </c>
      <c r="AL24" s="1098"/>
      <c r="AM24" s="1098"/>
      <c r="AN24" s="1098"/>
    </row>
    <row r="25" spans="1:40" x14ac:dyDescent="0.25">
      <c r="Z25" s="1141" t="s">
        <v>2420</v>
      </c>
      <c r="AA25" s="1141" t="s">
        <v>2376</v>
      </c>
      <c r="AB25" s="1507">
        <f>(98%*25%)</f>
        <v>0.245</v>
      </c>
      <c r="AE25" s="1141" t="s">
        <v>2729</v>
      </c>
      <c r="AF25" s="1141" t="s">
        <v>2376</v>
      </c>
      <c r="AG25" s="1507">
        <f>(99%*25%)</f>
        <v>0.2475</v>
      </c>
      <c r="AJ25" s="1141" t="s">
        <v>2547</v>
      </c>
      <c r="AK25" s="1141" t="s">
        <v>2376</v>
      </c>
      <c r="AL25" s="1507">
        <f>(100%*25%)</f>
        <v>0.25</v>
      </c>
      <c r="AM25" s="1098"/>
      <c r="AN25" s="1098"/>
    </row>
  </sheetData>
  <mergeCells count="67">
    <mergeCell ref="AJ1:AN1"/>
    <mergeCell ref="AK4:AK8"/>
    <mergeCell ref="AL4:AL8"/>
    <mergeCell ref="AM4:AM8"/>
    <mergeCell ref="AN4:AN8"/>
    <mergeCell ref="AK12:AK14"/>
    <mergeCell ref="AK15:AK20"/>
    <mergeCell ref="AM16:AM20"/>
    <mergeCell ref="AF9:AF11"/>
    <mergeCell ref="AI9:AI11"/>
    <mergeCell ref="AF12:AF14"/>
    <mergeCell ref="AI12:AI14"/>
    <mergeCell ref="AF15:AF20"/>
    <mergeCell ref="AI15:AI20"/>
    <mergeCell ref="AK9:AK11"/>
    <mergeCell ref="AE1:AI1"/>
    <mergeCell ref="AF4:AF8"/>
    <mergeCell ref="AG4:AG8"/>
    <mergeCell ref="AH4:AH8"/>
    <mergeCell ref="AI4:AI8"/>
    <mergeCell ref="A1:H1"/>
    <mergeCell ref="I1:T1"/>
    <mergeCell ref="A4:A8"/>
    <mergeCell ref="B4:B8"/>
    <mergeCell ref="C4:C8"/>
    <mergeCell ref="D4:D8"/>
    <mergeCell ref="E4:E8"/>
    <mergeCell ref="F4:F8"/>
    <mergeCell ref="G4:G8"/>
    <mergeCell ref="F12:F14"/>
    <mergeCell ref="W4:W8"/>
    <mergeCell ref="Y15:Y20"/>
    <mergeCell ref="V15:V20"/>
    <mergeCell ref="E15:E20"/>
    <mergeCell ref="E9:E11"/>
    <mergeCell ref="Y9:Y11"/>
    <mergeCell ref="E12:E14"/>
    <mergeCell ref="F15:F20"/>
    <mergeCell ref="G15:G20"/>
    <mergeCell ref="G12:G14"/>
    <mergeCell ref="F9:F11"/>
    <mergeCell ref="G9:G11"/>
    <mergeCell ref="Y12:Y14"/>
    <mergeCell ref="A9:A20"/>
    <mergeCell ref="B9:B20"/>
    <mergeCell ref="C9:C11"/>
    <mergeCell ref="D9:D11"/>
    <mergeCell ref="C15:C20"/>
    <mergeCell ref="D15:D20"/>
    <mergeCell ref="C12:C14"/>
    <mergeCell ref="D12:D14"/>
    <mergeCell ref="AD15:AD20"/>
    <mergeCell ref="AA12:AA14"/>
    <mergeCell ref="AA15:AA20"/>
    <mergeCell ref="AC4:AC8"/>
    <mergeCell ref="AA4:AA8"/>
    <mergeCell ref="Z1:AD1"/>
    <mergeCell ref="V12:V14"/>
    <mergeCell ref="V4:V8"/>
    <mergeCell ref="V9:V11"/>
    <mergeCell ref="AB4:AB8"/>
    <mergeCell ref="AA9:AA11"/>
    <mergeCell ref="U1:W1"/>
    <mergeCell ref="AD4:AD8"/>
    <mergeCell ref="AD9:AD11"/>
    <mergeCell ref="AD12:AD14"/>
    <mergeCell ref="Y4:Y8"/>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8"/>
  </sheetPr>
  <dimension ref="A1:AL12"/>
  <sheetViews>
    <sheetView topLeftCell="C1" zoomScale="85" zoomScaleNormal="85" zoomScaleSheetLayoutView="80" workbookViewId="0">
      <pane xSplit="6" ySplit="3" topLeftCell="AG4" activePane="bottomRight" state="frozen"/>
      <selection activeCell="S8" sqref="S8:S9"/>
      <selection pane="topRight" activeCell="S8" sqref="S8:S9"/>
      <selection pane="bottomLeft" activeCell="S8" sqref="S8:S9"/>
      <selection pane="bottomRight" activeCell="AK10" sqref="AK10"/>
    </sheetView>
  </sheetViews>
  <sheetFormatPr baseColWidth="10" defaultColWidth="11.5703125" defaultRowHeight="15" x14ac:dyDescent="0.25"/>
  <cols>
    <col min="1" max="1" width="15.5703125" style="876" customWidth="1"/>
    <col min="2" max="2" width="15.7109375" style="847" customWidth="1"/>
    <col min="3" max="3" width="20.5703125" style="802" customWidth="1"/>
    <col min="4" max="4" width="10.85546875" style="750" customWidth="1"/>
    <col min="5" max="5" width="16.42578125" style="802" customWidth="1"/>
    <col min="6" max="6" width="17.28515625" style="802" customWidth="1"/>
    <col min="7" max="7" width="15.140625" style="802" customWidth="1"/>
    <col min="8" max="8" width="43" style="803" customWidth="1"/>
    <col min="9" max="9" width="7" style="750" bestFit="1" customWidth="1"/>
    <col min="10" max="10" width="9" style="750" bestFit="1" customWidth="1"/>
    <col min="11" max="11" width="7.7109375" style="750" bestFit="1" customWidth="1"/>
    <col min="12" max="12" width="6" style="750" bestFit="1" customWidth="1"/>
    <col min="13" max="13" width="6.7109375" style="750" bestFit="1" customWidth="1"/>
    <col min="14" max="14" width="6.5703125" style="750" bestFit="1" customWidth="1"/>
    <col min="15" max="15" width="6" style="750" bestFit="1" customWidth="1"/>
    <col min="16" max="16" width="8.5703125" style="750" bestFit="1" customWidth="1"/>
    <col min="17" max="17" width="11.85546875" style="750" bestFit="1" customWidth="1"/>
    <col min="18" max="18" width="9.28515625" style="750" bestFit="1" customWidth="1"/>
    <col min="19" max="19" width="11.85546875" style="750" bestFit="1" customWidth="1"/>
    <col min="20" max="20" width="10.7109375" style="750" bestFit="1" customWidth="1"/>
    <col min="21" max="21" width="10" style="750" hidden="1" customWidth="1"/>
    <col min="22" max="22" width="17" style="750" hidden="1" customWidth="1"/>
    <col min="23" max="23" width="86.85546875" style="750" hidden="1" customWidth="1"/>
    <col min="24" max="24" width="16.7109375" style="750" hidden="1" customWidth="1"/>
    <col min="25" max="25" width="18.140625" style="750" hidden="1" customWidth="1"/>
    <col min="26" max="26" width="19.28515625" style="750" hidden="1" customWidth="1"/>
    <col min="27" max="27" width="52.28515625" style="750" hidden="1" customWidth="1"/>
    <col min="28" max="28" width="33.28515625" style="750" hidden="1" customWidth="1"/>
    <col min="29" max="29" width="16.7109375" style="750" customWidth="1"/>
    <col min="30" max="30" width="18.140625" style="750" customWidth="1"/>
    <col min="31" max="31" width="19.28515625" style="750" customWidth="1"/>
    <col min="32" max="32" width="52.28515625" style="750" customWidth="1"/>
    <col min="33" max="33" width="33.28515625" style="750" customWidth="1"/>
    <col min="34" max="35" width="11.5703125" style="750"/>
    <col min="36" max="36" width="18.140625" style="750" customWidth="1"/>
    <col min="37" max="37" width="55" style="750" customWidth="1"/>
    <col min="38" max="38" width="21.28515625" style="750" customWidth="1"/>
    <col min="39" max="16384" width="11.5703125" style="750"/>
  </cols>
  <sheetData>
    <row r="1" spans="1:38" ht="64.5" customHeight="1" x14ac:dyDescent="0.25">
      <c r="A1" s="1947" t="s">
        <v>2570</v>
      </c>
      <c r="B1" s="1947"/>
      <c r="C1" s="1947"/>
      <c r="D1" s="1947"/>
      <c r="E1" s="1947"/>
      <c r="F1" s="1947"/>
      <c r="G1" s="1947"/>
      <c r="H1" s="1947"/>
      <c r="I1" s="2172" t="s">
        <v>1351</v>
      </c>
      <c r="J1" s="2172"/>
      <c r="K1" s="2172"/>
      <c r="L1" s="2172"/>
      <c r="M1" s="2172"/>
      <c r="N1" s="2172"/>
      <c r="O1" s="2172"/>
      <c r="P1" s="2172"/>
      <c r="Q1" s="2172"/>
      <c r="R1" s="2172"/>
      <c r="S1" s="2172"/>
      <c r="T1" s="2172"/>
      <c r="U1" s="2179" t="s">
        <v>1970</v>
      </c>
      <c r="V1" s="2179"/>
      <c r="W1" s="2179"/>
      <c r="X1" s="2173" t="s">
        <v>2138</v>
      </c>
      <c r="Y1" s="2172"/>
      <c r="Z1" s="2172"/>
      <c r="AA1" s="2172"/>
      <c r="AB1" s="2172"/>
      <c r="AC1" s="2173" t="s">
        <v>2631</v>
      </c>
      <c r="AD1" s="2172"/>
      <c r="AE1" s="2172"/>
      <c r="AF1" s="2172"/>
      <c r="AG1" s="2172"/>
      <c r="AH1" s="2173" t="s">
        <v>2871</v>
      </c>
      <c r="AI1" s="2172"/>
      <c r="AJ1" s="2172"/>
      <c r="AK1" s="2172"/>
      <c r="AL1" s="2172"/>
    </row>
    <row r="2" spans="1:38" ht="8.25" customHeight="1" x14ac:dyDescent="0.25">
      <c r="A2" s="806"/>
      <c r="B2" s="802"/>
      <c r="C2" s="807"/>
      <c r="D2" s="807"/>
      <c r="E2" s="807"/>
      <c r="F2" s="807"/>
      <c r="G2" s="808"/>
      <c r="H2" s="793"/>
    </row>
    <row r="3" spans="1:38" s="850" customFormat="1" ht="51.75" customHeight="1" x14ac:dyDescent="0.25">
      <c r="A3" s="777" t="s">
        <v>1221</v>
      </c>
      <c r="B3" s="777" t="s">
        <v>47</v>
      </c>
      <c r="C3" s="777" t="s">
        <v>1461</v>
      </c>
      <c r="D3" s="777" t="s">
        <v>1</v>
      </c>
      <c r="E3" s="777" t="s">
        <v>51</v>
      </c>
      <c r="F3" s="777" t="s">
        <v>2216</v>
      </c>
      <c r="G3" s="777" t="s">
        <v>3</v>
      </c>
      <c r="H3" s="777" t="s">
        <v>1291</v>
      </c>
      <c r="I3" s="777" t="s">
        <v>1352</v>
      </c>
      <c r="J3" s="777" t="s">
        <v>1353</v>
      </c>
      <c r="K3" s="777" t="s">
        <v>1354</v>
      </c>
      <c r="L3" s="777" t="s">
        <v>1355</v>
      </c>
      <c r="M3" s="777" t="s">
        <v>1356</v>
      </c>
      <c r="N3" s="777" t="s">
        <v>1357</v>
      </c>
      <c r="O3" s="777" t="s">
        <v>1358</v>
      </c>
      <c r="P3" s="777" t="s">
        <v>1359</v>
      </c>
      <c r="Q3" s="777" t="s">
        <v>1360</v>
      </c>
      <c r="R3" s="777" t="s">
        <v>1361</v>
      </c>
      <c r="S3" s="777" t="s">
        <v>1362</v>
      </c>
      <c r="T3" s="777" t="s">
        <v>1363</v>
      </c>
      <c r="U3" s="777" t="s">
        <v>1926</v>
      </c>
      <c r="V3" s="777" t="s">
        <v>1927</v>
      </c>
      <c r="W3" s="777" t="s">
        <v>347</v>
      </c>
      <c r="X3" s="777" t="s">
        <v>1926</v>
      </c>
      <c r="Y3" s="777" t="s">
        <v>1927</v>
      </c>
      <c r="Z3" s="777" t="s">
        <v>2126</v>
      </c>
      <c r="AA3" s="777" t="s">
        <v>2159</v>
      </c>
      <c r="AB3" s="777" t="s">
        <v>1928</v>
      </c>
      <c r="AC3" s="777" t="s">
        <v>1926</v>
      </c>
      <c r="AD3" s="777" t="s">
        <v>1927</v>
      </c>
      <c r="AE3" s="777" t="s">
        <v>2126</v>
      </c>
      <c r="AF3" s="777" t="s">
        <v>2159</v>
      </c>
      <c r="AG3" s="777" t="s">
        <v>1928</v>
      </c>
      <c r="AH3" s="777" t="s">
        <v>1926</v>
      </c>
      <c r="AI3" s="777" t="s">
        <v>1927</v>
      </c>
      <c r="AJ3" s="777" t="s">
        <v>2126</v>
      </c>
      <c r="AK3" s="777" t="s">
        <v>2159</v>
      </c>
      <c r="AL3" s="777" t="s">
        <v>1928</v>
      </c>
    </row>
    <row r="4" spans="1:38" s="869" customFormat="1" ht="43.5" customHeight="1" x14ac:dyDescent="0.25">
      <c r="A4" s="2170" t="s">
        <v>1303</v>
      </c>
      <c r="B4" s="2169" t="s">
        <v>1857</v>
      </c>
      <c r="C4" s="2169" t="s">
        <v>1858</v>
      </c>
      <c r="D4" s="2171">
        <v>1</v>
      </c>
      <c r="E4" s="2169" t="s">
        <v>2476</v>
      </c>
      <c r="F4" s="2169" t="s">
        <v>1859</v>
      </c>
      <c r="G4" s="2169" t="s">
        <v>1860</v>
      </c>
      <c r="H4" s="1220" t="s">
        <v>1861</v>
      </c>
      <c r="I4" s="1315"/>
      <c r="J4" s="1316"/>
      <c r="K4" s="1317" t="s">
        <v>1397</v>
      </c>
      <c r="L4" s="1317"/>
      <c r="M4" s="1317"/>
      <c r="N4" s="1317"/>
      <c r="O4" s="1317"/>
      <c r="P4" s="1317"/>
      <c r="Q4" s="1317"/>
      <c r="R4" s="1317"/>
      <c r="S4" s="1317"/>
      <c r="T4" s="1309"/>
      <c r="U4" s="883">
        <v>1</v>
      </c>
      <c r="V4" s="2177">
        <v>1</v>
      </c>
      <c r="W4" s="2175" t="s">
        <v>2117</v>
      </c>
      <c r="X4" s="1492">
        <v>1</v>
      </c>
      <c r="Y4" s="2174">
        <v>0.69</v>
      </c>
      <c r="Z4" s="1493"/>
      <c r="AA4" s="1493"/>
      <c r="AB4" s="1493" t="s">
        <v>2142</v>
      </c>
      <c r="AC4" s="1631">
        <v>1</v>
      </c>
      <c r="AD4" s="2174">
        <v>0.87</v>
      </c>
      <c r="AE4" s="1606"/>
      <c r="AF4" s="1534" t="s">
        <v>2142</v>
      </c>
      <c r="AG4" s="1606"/>
      <c r="AH4" s="1736">
        <v>1</v>
      </c>
      <c r="AI4" s="2174">
        <v>0.87</v>
      </c>
      <c r="AJ4" s="1727"/>
      <c r="AK4" s="1534" t="s">
        <v>2142</v>
      </c>
      <c r="AL4" s="1727"/>
    </row>
    <row r="5" spans="1:38" s="869" customFormat="1" ht="110.25" customHeight="1" x14ac:dyDescent="0.25">
      <c r="A5" s="2170"/>
      <c r="B5" s="2169"/>
      <c r="C5" s="2169"/>
      <c r="D5" s="2171"/>
      <c r="E5" s="2169"/>
      <c r="F5" s="2169"/>
      <c r="G5" s="2169"/>
      <c r="H5" s="1494" t="s">
        <v>1862</v>
      </c>
      <c r="I5" s="1310"/>
      <c r="J5" s="1311"/>
      <c r="K5" s="1312" t="s">
        <v>1397</v>
      </c>
      <c r="L5" s="1312" t="s">
        <v>1397</v>
      </c>
      <c r="M5" s="1312" t="s">
        <v>1397</v>
      </c>
      <c r="N5" s="1312" t="s">
        <v>1397</v>
      </c>
      <c r="O5" s="1312" t="s">
        <v>1397</v>
      </c>
      <c r="P5" s="1312" t="s">
        <v>1397</v>
      </c>
      <c r="Q5" s="1312" t="s">
        <v>1397</v>
      </c>
      <c r="R5" s="1312" t="s">
        <v>1397</v>
      </c>
      <c r="S5" s="1312"/>
      <c r="T5" s="1318"/>
      <c r="U5" s="883">
        <v>1</v>
      </c>
      <c r="V5" s="2178"/>
      <c r="W5" s="2176"/>
      <c r="X5" s="1492">
        <v>0.54</v>
      </c>
      <c r="Y5" s="2174"/>
      <c r="Z5" s="1493" t="s">
        <v>2532</v>
      </c>
      <c r="AA5" s="756" t="s">
        <v>2602</v>
      </c>
      <c r="AB5" s="756"/>
      <c r="AC5" s="1631">
        <v>0.8</v>
      </c>
      <c r="AD5" s="2174"/>
      <c r="AE5" s="1606" t="s">
        <v>2532</v>
      </c>
      <c r="AF5" s="756" t="s">
        <v>2730</v>
      </c>
      <c r="AG5" s="756" t="s">
        <v>2738</v>
      </c>
      <c r="AH5" s="1736">
        <v>1</v>
      </c>
      <c r="AI5" s="2174"/>
      <c r="AJ5" s="2020" t="s">
        <v>2934</v>
      </c>
      <c r="AK5" s="2020" t="s">
        <v>2936</v>
      </c>
      <c r="AL5" s="756" t="s">
        <v>2738</v>
      </c>
    </row>
    <row r="6" spans="1:38" s="869" customFormat="1" ht="45.75" customHeight="1" x14ac:dyDescent="0.25">
      <c r="A6" s="2170"/>
      <c r="B6" s="2169"/>
      <c r="C6" s="2169"/>
      <c r="D6" s="2171"/>
      <c r="E6" s="2169"/>
      <c r="F6" s="2169"/>
      <c r="G6" s="2169"/>
      <c r="H6" s="1494" t="s">
        <v>1863</v>
      </c>
      <c r="I6" s="1310"/>
      <c r="J6" s="1311"/>
      <c r="K6" s="1312" t="s">
        <v>1397</v>
      </c>
      <c r="L6" s="1312" t="s">
        <v>1397</v>
      </c>
      <c r="M6" s="1312" t="s">
        <v>1397</v>
      </c>
      <c r="N6" s="1312" t="s">
        <v>1397</v>
      </c>
      <c r="O6" s="1312" t="s">
        <v>1397</v>
      </c>
      <c r="P6" s="1312" t="s">
        <v>1397</v>
      </c>
      <c r="Q6" s="1312" t="s">
        <v>1397</v>
      </c>
      <c r="R6" s="1312" t="s">
        <v>1397</v>
      </c>
      <c r="S6" s="1312" t="s">
        <v>1397</v>
      </c>
      <c r="T6" s="1318" t="s">
        <v>1397</v>
      </c>
      <c r="U6" s="883">
        <v>1</v>
      </c>
      <c r="V6" s="2178"/>
      <c r="W6" s="2176"/>
      <c r="X6" s="1492">
        <v>0.54</v>
      </c>
      <c r="Y6" s="2174"/>
      <c r="Z6" s="1493" t="s">
        <v>2534</v>
      </c>
      <c r="AA6" s="756" t="s">
        <v>2533</v>
      </c>
      <c r="AB6" s="756"/>
      <c r="AC6" s="1631">
        <v>0.8</v>
      </c>
      <c r="AD6" s="2174"/>
      <c r="AE6" s="1606" t="s">
        <v>2534</v>
      </c>
      <c r="AF6" s="756" t="s">
        <v>2533</v>
      </c>
      <c r="AG6" s="756"/>
      <c r="AH6" s="1736">
        <v>1</v>
      </c>
      <c r="AI6" s="2174"/>
      <c r="AJ6" s="1945"/>
      <c r="AK6" s="1945"/>
      <c r="AL6" s="756"/>
    </row>
    <row r="7" spans="1:38" s="869" customFormat="1" ht="90" x14ac:dyDescent="0.25">
      <c r="A7" s="2170"/>
      <c r="B7" s="2169"/>
      <c r="C7" s="2169"/>
      <c r="D7" s="2171"/>
      <c r="E7" s="2169"/>
      <c r="F7" s="2169"/>
      <c r="G7" s="2169"/>
      <c r="H7" s="1494" t="s">
        <v>1864</v>
      </c>
      <c r="I7" s="1322"/>
      <c r="J7" s="1323"/>
      <c r="K7" s="1323"/>
      <c r="L7" s="1323"/>
      <c r="M7" s="1323"/>
      <c r="N7" s="1324" t="s">
        <v>1397</v>
      </c>
      <c r="O7" s="1324" t="s">
        <v>1397</v>
      </c>
      <c r="P7" s="1324" t="s">
        <v>1397</v>
      </c>
      <c r="Q7" s="1324" t="s">
        <v>1397</v>
      </c>
      <c r="R7" s="1324" t="s">
        <v>1397</v>
      </c>
      <c r="S7" s="1324" t="s">
        <v>1397</v>
      </c>
      <c r="T7" s="1325" t="s">
        <v>1397</v>
      </c>
      <c r="U7" s="1495"/>
      <c r="V7" s="1495"/>
      <c r="W7" s="1495"/>
      <c r="X7" s="1492" t="s">
        <v>353</v>
      </c>
      <c r="Y7" s="2174"/>
      <c r="Z7" s="1493"/>
      <c r="AA7" s="756" t="s">
        <v>2527</v>
      </c>
      <c r="AB7" s="756" t="s">
        <v>2600</v>
      </c>
      <c r="AC7" s="1631" t="s">
        <v>353</v>
      </c>
      <c r="AD7" s="2174"/>
      <c r="AE7" s="1606"/>
      <c r="AF7" s="756" t="s">
        <v>2527</v>
      </c>
      <c r="AG7" s="756" t="s">
        <v>2739</v>
      </c>
      <c r="AH7" s="1736">
        <v>1</v>
      </c>
      <c r="AI7" s="2174"/>
      <c r="AJ7" s="1946"/>
      <c r="AK7" s="1946"/>
      <c r="AL7" s="756" t="s">
        <v>2739</v>
      </c>
    </row>
    <row r="8" spans="1:38" x14ac:dyDescent="0.25">
      <c r="A8" s="799"/>
      <c r="B8" s="841"/>
      <c r="C8" s="799"/>
      <c r="D8" s="798"/>
      <c r="E8" s="799"/>
      <c r="F8" s="799"/>
      <c r="G8" s="799"/>
      <c r="H8" s="800"/>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row>
    <row r="9" spans="1:38" x14ac:dyDescent="0.25">
      <c r="A9" s="802"/>
    </row>
    <row r="10" spans="1:38" ht="15.75" customHeight="1" x14ac:dyDescent="0.25">
      <c r="A10" s="802"/>
      <c r="U10" s="804" t="s">
        <v>2119</v>
      </c>
      <c r="V10" s="1490"/>
      <c r="X10" s="1172" t="s">
        <v>2395</v>
      </c>
      <c r="Y10" s="1141" t="s">
        <v>2528</v>
      </c>
      <c r="AC10" s="1172" t="s">
        <v>2395</v>
      </c>
      <c r="AD10" s="1141" t="s">
        <v>2528</v>
      </c>
      <c r="AH10" s="1172" t="s">
        <v>2395</v>
      </c>
      <c r="AI10" s="1141" t="s">
        <v>2528</v>
      </c>
    </row>
    <row r="11" spans="1:38" x14ac:dyDescent="0.25">
      <c r="A11" s="802"/>
      <c r="U11" s="804" t="s">
        <v>2118</v>
      </c>
      <c r="V11" s="1491">
        <v>0.25</v>
      </c>
      <c r="X11" s="1141" t="s">
        <v>2601</v>
      </c>
      <c r="Y11" s="1173" t="s">
        <v>2376</v>
      </c>
      <c r="Z11" s="1488">
        <f>(69%*25%)</f>
        <v>0.17249999999999999</v>
      </c>
      <c r="AC11" s="1141" t="s">
        <v>2731</v>
      </c>
      <c r="AD11" s="1173" t="s">
        <v>2376</v>
      </c>
      <c r="AE11" s="1488">
        <f>(87%*25%)</f>
        <v>0.2175</v>
      </c>
      <c r="AH11" s="1141" t="s">
        <v>2935</v>
      </c>
      <c r="AI11" s="1173" t="s">
        <v>2376</v>
      </c>
      <c r="AJ11" s="1488">
        <f>(100%*25%)</f>
        <v>0.25</v>
      </c>
    </row>
    <row r="12" spans="1:38" x14ac:dyDescent="0.25">
      <c r="A12" s="802"/>
    </row>
  </sheetData>
  <mergeCells count="20">
    <mergeCell ref="I1:T1"/>
    <mergeCell ref="AH1:AL1"/>
    <mergeCell ref="AI4:AI7"/>
    <mergeCell ref="AK5:AK7"/>
    <mergeCell ref="AJ5:AJ7"/>
    <mergeCell ref="AC1:AG1"/>
    <mergeCell ref="AD4:AD7"/>
    <mergeCell ref="Y4:Y7"/>
    <mergeCell ref="W4:W6"/>
    <mergeCell ref="V4:V6"/>
    <mergeCell ref="U1:W1"/>
    <mergeCell ref="X1:AB1"/>
    <mergeCell ref="G4:G7"/>
    <mergeCell ref="A1:H1"/>
    <mergeCell ref="A4:A7"/>
    <mergeCell ref="B4:B7"/>
    <mergeCell ref="C4:C7"/>
    <mergeCell ref="D4:D7"/>
    <mergeCell ref="E4:E7"/>
    <mergeCell ref="F4:F7"/>
  </mergeCells>
  <printOptions horizontalCentered="1" verticalCentered="1"/>
  <pageMargins left="0.70866141732283472" right="0.70866141732283472" top="0.74803149606299213" bottom="0.74803149606299213" header="0.31496062992125984" footer="0.31496062992125984"/>
  <pageSetup scale="5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J26"/>
  <sheetViews>
    <sheetView zoomScale="90" zoomScaleNormal="90" workbookViewId="0">
      <pane xSplit="7" ySplit="3" topLeftCell="AE4" activePane="bottomRight" state="frozen"/>
      <selection activeCell="AI4" sqref="AI4:AI5"/>
      <selection pane="topRight" activeCell="AI4" sqref="AI4:AI5"/>
      <selection pane="bottomLeft" activeCell="AI4" sqref="AI4:AI5"/>
      <selection pane="bottomRight" activeCell="AI4" sqref="AI4:AI5"/>
    </sheetView>
  </sheetViews>
  <sheetFormatPr baseColWidth="10" defaultRowHeight="15" x14ac:dyDescent="0.25"/>
  <cols>
    <col min="1" max="1" width="22.85546875" customWidth="1"/>
    <col min="2" max="2" width="20.85546875" customWidth="1"/>
    <col min="3" max="3" width="5.7109375" bestFit="1" customWidth="1"/>
    <col min="4" max="4" width="16.140625" customWidth="1"/>
    <col min="5" max="5" width="15.7109375" customWidth="1"/>
    <col min="6" max="6" width="16.140625" customWidth="1"/>
    <col min="7" max="7" width="28.140625" customWidth="1"/>
    <col min="8" max="8" width="7" bestFit="1" customWidth="1"/>
    <col min="9" max="9" width="8.85546875" bestFit="1" customWidth="1"/>
    <col min="10" max="10" width="7.7109375" bestFit="1" customWidth="1"/>
    <col min="11" max="11" width="6" bestFit="1" customWidth="1"/>
    <col min="12" max="12" width="7.5703125" customWidth="1"/>
    <col min="13" max="13" width="7" customWidth="1"/>
    <col min="14" max="14" width="6" bestFit="1" customWidth="1"/>
    <col min="15" max="15" width="8.5703125" bestFit="1" customWidth="1"/>
    <col min="16" max="16" width="11.85546875" bestFit="1" customWidth="1"/>
    <col min="17" max="17" width="9.28515625" bestFit="1" customWidth="1"/>
    <col min="18" max="18" width="11.85546875" bestFit="1" customWidth="1"/>
    <col min="19" max="19" width="10.42578125" customWidth="1"/>
    <col min="20" max="20" width="44.85546875" hidden="1" customWidth="1"/>
    <col min="21" max="22" width="0" hidden="1" customWidth="1"/>
    <col min="23" max="23" width="16.85546875" hidden="1" customWidth="1"/>
    <col min="24" max="24" width="18.85546875" hidden="1" customWidth="1"/>
    <col min="25" max="25" width="45.7109375" hidden="1" customWidth="1"/>
    <col min="26" max="26" width="27.7109375" hidden="1" customWidth="1"/>
    <col min="27" max="27" width="16.85546875" style="729" bestFit="1" customWidth="1"/>
    <col min="28" max="28" width="18.85546875" style="729" customWidth="1"/>
    <col min="29" max="29" width="45.7109375" style="729" customWidth="1"/>
    <col min="30" max="30" width="67.140625" style="729" customWidth="1"/>
    <col min="31" max="31" width="27.7109375" style="729" customWidth="1"/>
    <col min="32" max="32" width="17.140625" customWidth="1"/>
    <col min="34" max="34" width="14.85546875" customWidth="1"/>
    <col min="35" max="35" width="72.5703125" customWidth="1"/>
    <col min="36" max="36" width="23.7109375" customWidth="1"/>
  </cols>
  <sheetData>
    <row r="1" spans="1:36" s="750" customFormat="1" ht="58.5" customHeight="1" x14ac:dyDescent="0.25">
      <c r="A1" s="2186" t="s">
        <v>2556</v>
      </c>
      <c r="B1" s="2187"/>
      <c r="C1" s="2187"/>
      <c r="D1" s="2187"/>
      <c r="E1" s="2187"/>
      <c r="F1" s="2187"/>
      <c r="G1" s="2187"/>
      <c r="H1" s="2193" t="s">
        <v>1351</v>
      </c>
      <c r="I1" s="2194"/>
      <c r="J1" s="2194"/>
      <c r="K1" s="2194"/>
      <c r="L1" s="2194"/>
      <c r="M1" s="2194"/>
      <c r="N1" s="2194"/>
      <c r="O1" s="2194"/>
      <c r="P1" s="2194"/>
      <c r="Q1" s="2194"/>
      <c r="R1" s="2194"/>
      <c r="S1" s="2195"/>
      <c r="T1" s="2120" t="s">
        <v>2131</v>
      </c>
      <c r="U1" s="2121"/>
      <c r="V1" s="2122"/>
      <c r="W1" s="1992" t="s">
        <v>2138</v>
      </c>
      <c r="X1" s="1993"/>
      <c r="Y1" s="1993"/>
      <c r="Z1" s="1993"/>
      <c r="AA1" s="1992" t="s">
        <v>2630</v>
      </c>
      <c r="AB1" s="1993"/>
      <c r="AC1" s="1993"/>
      <c r="AD1" s="1993"/>
      <c r="AE1" s="1993"/>
      <c r="AF1" s="1992" t="s">
        <v>2871</v>
      </c>
      <c r="AG1" s="1993"/>
      <c r="AH1" s="1993"/>
      <c r="AI1" s="1993"/>
      <c r="AJ1" s="1993"/>
    </row>
    <row r="2" spans="1:36" s="1138" customFormat="1" ht="9" customHeight="1" x14ac:dyDescent="0.25">
      <c r="A2" s="2188"/>
      <c r="B2" s="2188"/>
      <c r="C2" s="2188"/>
      <c r="D2" s="2188"/>
      <c r="E2" s="2188"/>
      <c r="F2" s="2188"/>
      <c r="G2" s="2188"/>
      <c r="H2" s="1136"/>
      <c r="I2" s="1136"/>
      <c r="J2" s="1136"/>
      <c r="K2" s="1136"/>
      <c r="L2" s="1136"/>
      <c r="M2" s="1136"/>
      <c r="N2" s="1136"/>
      <c r="O2" s="1136"/>
      <c r="P2" s="1136"/>
      <c r="Q2" s="1136"/>
      <c r="R2" s="1136"/>
      <c r="S2" s="1136"/>
      <c r="T2" s="1135"/>
      <c r="U2" s="1136"/>
      <c r="V2" s="1136"/>
      <c r="W2" s="1137"/>
      <c r="X2" s="1137"/>
      <c r="Y2" s="1137"/>
      <c r="Z2" s="1137"/>
      <c r="AA2" s="1137"/>
      <c r="AB2" s="1137"/>
      <c r="AC2" s="1137"/>
      <c r="AD2" s="1137"/>
      <c r="AE2" s="1137"/>
      <c r="AF2" s="1137"/>
      <c r="AG2" s="1137"/>
      <c r="AH2" s="1137"/>
      <c r="AI2" s="1137"/>
      <c r="AJ2" s="1137"/>
    </row>
    <row r="3" spans="1:36" s="750" customFormat="1" ht="30" x14ac:dyDescent="0.25">
      <c r="A3" s="777" t="s">
        <v>47</v>
      </c>
      <c r="B3" s="777" t="s">
        <v>1461</v>
      </c>
      <c r="C3" s="777" t="s">
        <v>1</v>
      </c>
      <c r="D3" s="777" t="s">
        <v>51</v>
      </c>
      <c r="E3" s="777" t="s">
        <v>2216</v>
      </c>
      <c r="F3" s="777" t="s">
        <v>3</v>
      </c>
      <c r="G3" s="777" t="s">
        <v>1291</v>
      </c>
      <c r="H3" s="777" t="s">
        <v>1352</v>
      </c>
      <c r="I3" s="777" t="s">
        <v>1353</v>
      </c>
      <c r="J3" s="777" t="s">
        <v>1354</v>
      </c>
      <c r="K3" s="777" t="s">
        <v>1355</v>
      </c>
      <c r="L3" s="777" t="s">
        <v>1356</v>
      </c>
      <c r="M3" s="777" t="s">
        <v>1357</v>
      </c>
      <c r="N3" s="777" t="s">
        <v>1358</v>
      </c>
      <c r="O3" s="777" t="s">
        <v>1359</v>
      </c>
      <c r="P3" s="777" t="s">
        <v>1360</v>
      </c>
      <c r="Q3" s="777" t="s">
        <v>1361</v>
      </c>
      <c r="R3" s="777" t="s">
        <v>1362</v>
      </c>
      <c r="S3" s="777" t="s">
        <v>1363</v>
      </c>
      <c r="T3" s="777" t="s">
        <v>1928</v>
      </c>
      <c r="U3" s="777" t="s">
        <v>2285</v>
      </c>
      <c r="V3" s="777" t="s">
        <v>1927</v>
      </c>
      <c r="W3" s="777" t="s">
        <v>1926</v>
      </c>
      <c r="X3" s="777" t="s">
        <v>1927</v>
      </c>
      <c r="Y3" s="777" t="s">
        <v>2126</v>
      </c>
      <c r="Z3" s="777" t="s">
        <v>1928</v>
      </c>
      <c r="AA3" s="1633" t="s">
        <v>1926</v>
      </c>
      <c r="AB3" s="1633" t="s">
        <v>1927</v>
      </c>
      <c r="AC3" s="1633" t="s">
        <v>2126</v>
      </c>
      <c r="AD3" s="1633" t="s">
        <v>1925</v>
      </c>
      <c r="AE3" s="1633" t="s">
        <v>1928</v>
      </c>
      <c r="AF3" s="1767" t="s">
        <v>1926</v>
      </c>
      <c r="AG3" s="1767" t="s">
        <v>1927</v>
      </c>
      <c r="AH3" s="1767" t="s">
        <v>2126</v>
      </c>
      <c r="AI3" s="1767" t="s">
        <v>1925</v>
      </c>
      <c r="AJ3" s="1767" t="s">
        <v>1928</v>
      </c>
    </row>
    <row r="4" spans="1:36" s="851" customFormat="1" ht="62.25" customHeight="1" x14ac:dyDescent="0.25">
      <c r="A4" s="2044" t="s">
        <v>1593</v>
      </c>
      <c r="B4" s="2039" t="s">
        <v>1646</v>
      </c>
      <c r="C4" s="2040">
        <v>0.85</v>
      </c>
      <c r="D4" s="2039" t="s">
        <v>1623</v>
      </c>
      <c r="E4" s="2039" t="s">
        <v>1624</v>
      </c>
      <c r="F4" s="2044" t="s">
        <v>27</v>
      </c>
      <c r="G4" s="2198" t="s">
        <v>1625</v>
      </c>
      <c r="H4" s="2203"/>
      <c r="I4" s="2182"/>
      <c r="J4" s="2182" t="s">
        <v>1397</v>
      </c>
      <c r="K4" s="2182"/>
      <c r="L4" s="2182"/>
      <c r="M4" s="2182" t="s">
        <v>1397</v>
      </c>
      <c r="N4" s="2182"/>
      <c r="O4" s="2182"/>
      <c r="P4" s="2182" t="s">
        <v>1397</v>
      </c>
      <c r="Q4" s="2182"/>
      <c r="R4" s="2182"/>
      <c r="S4" s="2191"/>
      <c r="T4" s="2196" t="s">
        <v>2345</v>
      </c>
      <c r="U4" s="2156">
        <v>0.8</v>
      </c>
      <c r="V4" s="2156">
        <v>0.87</v>
      </c>
      <c r="W4" s="2156">
        <v>1</v>
      </c>
      <c r="X4" s="2157">
        <v>0.93</v>
      </c>
      <c r="Y4" s="2077" t="s">
        <v>2346</v>
      </c>
      <c r="Z4" s="2071" t="s">
        <v>2286</v>
      </c>
      <c r="AA4" s="2156">
        <v>1</v>
      </c>
      <c r="AB4" s="2157">
        <v>0.93</v>
      </c>
      <c r="AC4" s="2071" t="s">
        <v>2687</v>
      </c>
      <c r="AD4" s="2071" t="s">
        <v>2667</v>
      </c>
      <c r="AE4" s="2071" t="s">
        <v>2286</v>
      </c>
      <c r="AF4" s="2156">
        <v>1</v>
      </c>
      <c r="AG4" s="2157">
        <v>0.95</v>
      </c>
      <c r="AH4" s="2071" t="s">
        <v>2687</v>
      </c>
      <c r="AI4" s="2077" t="s">
        <v>2925</v>
      </c>
      <c r="AJ4" s="2071" t="s">
        <v>2286</v>
      </c>
    </row>
    <row r="5" spans="1:36" s="851" customFormat="1" ht="62.25" customHeight="1" x14ac:dyDescent="0.25">
      <c r="A5" s="2044"/>
      <c r="B5" s="2039"/>
      <c r="C5" s="2040"/>
      <c r="D5" s="2039"/>
      <c r="E5" s="2039"/>
      <c r="F5" s="2044"/>
      <c r="G5" s="2198"/>
      <c r="H5" s="2204"/>
      <c r="I5" s="2183"/>
      <c r="J5" s="2183"/>
      <c r="K5" s="2183"/>
      <c r="L5" s="2183"/>
      <c r="M5" s="2183"/>
      <c r="N5" s="2183"/>
      <c r="O5" s="2183"/>
      <c r="P5" s="2183"/>
      <c r="Q5" s="2183"/>
      <c r="R5" s="2183"/>
      <c r="S5" s="2192"/>
      <c r="T5" s="2197"/>
      <c r="U5" s="2157"/>
      <c r="V5" s="2157"/>
      <c r="W5" s="2157"/>
      <c r="X5" s="2127"/>
      <c r="Y5" s="2079"/>
      <c r="Z5" s="2072"/>
      <c r="AA5" s="2157"/>
      <c r="AB5" s="2127"/>
      <c r="AC5" s="2072"/>
      <c r="AD5" s="2072"/>
      <c r="AE5" s="2072"/>
      <c r="AF5" s="2157"/>
      <c r="AG5" s="2127"/>
      <c r="AH5" s="2072"/>
      <c r="AI5" s="2078"/>
      <c r="AJ5" s="2072"/>
    </row>
    <row r="6" spans="1:36" s="851" customFormat="1" x14ac:dyDescent="0.25">
      <c r="A6" s="2044"/>
      <c r="B6" s="2039"/>
      <c r="C6" s="2040"/>
      <c r="D6" s="2039"/>
      <c r="E6" s="2039"/>
      <c r="F6" s="2044"/>
      <c r="G6" s="2198" t="s">
        <v>2032</v>
      </c>
      <c r="H6" s="2199"/>
      <c r="I6" s="2180"/>
      <c r="J6" s="2180" t="s">
        <v>1397</v>
      </c>
      <c r="K6" s="2180"/>
      <c r="L6" s="2180"/>
      <c r="M6" s="2180" t="s">
        <v>1397</v>
      </c>
      <c r="N6" s="2180"/>
      <c r="O6" s="2180"/>
      <c r="P6" s="2180" t="s">
        <v>1397</v>
      </c>
      <c r="Q6" s="2180"/>
      <c r="R6" s="2180"/>
      <c r="S6" s="2184"/>
      <c r="T6" s="2189" t="s">
        <v>2135</v>
      </c>
      <c r="U6" s="2157">
        <v>0.8</v>
      </c>
      <c r="V6" s="2157"/>
      <c r="W6" s="2157">
        <v>0.8</v>
      </c>
      <c r="X6" s="2127"/>
      <c r="Y6" s="2189" t="s">
        <v>2340</v>
      </c>
      <c r="Z6" s="2072"/>
      <c r="AA6" s="2157">
        <v>0.8</v>
      </c>
      <c r="AB6" s="2127"/>
      <c r="AC6" s="2072"/>
      <c r="AD6" s="2072" t="s">
        <v>2664</v>
      </c>
      <c r="AE6" s="2072"/>
      <c r="AF6" s="2157">
        <v>0.8</v>
      </c>
      <c r="AG6" s="2127"/>
      <c r="AH6" s="2072"/>
      <c r="AI6" s="2078" t="s">
        <v>2926</v>
      </c>
      <c r="AJ6" s="2072"/>
    </row>
    <row r="7" spans="1:36" s="851" customFormat="1" x14ac:dyDescent="0.25">
      <c r="A7" s="2044"/>
      <c r="B7" s="2039"/>
      <c r="C7" s="2040"/>
      <c r="D7" s="2039"/>
      <c r="E7" s="2039"/>
      <c r="F7" s="2044"/>
      <c r="G7" s="2198"/>
      <c r="H7" s="2199"/>
      <c r="I7" s="2180"/>
      <c r="J7" s="2180"/>
      <c r="K7" s="2180"/>
      <c r="L7" s="2180"/>
      <c r="M7" s="2180"/>
      <c r="N7" s="2180"/>
      <c r="O7" s="2180"/>
      <c r="P7" s="2180"/>
      <c r="Q7" s="2180"/>
      <c r="R7" s="2180"/>
      <c r="S7" s="2184"/>
      <c r="T7" s="2190"/>
      <c r="U7" s="2127"/>
      <c r="V7" s="2157"/>
      <c r="W7" s="2127"/>
      <c r="X7" s="2127"/>
      <c r="Y7" s="2190"/>
      <c r="Z7" s="2072"/>
      <c r="AA7" s="2127"/>
      <c r="AB7" s="2127"/>
      <c r="AC7" s="2072"/>
      <c r="AD7" s="2072"/>
      <c r="AE7" s="2072"/>
      <c r="AF7" s="2127"/>
      <c r="AG7" s="2127"/>
      <c r="AH7" s="2072"/>
      <c r="AI7" s="2078"/>
      <c r="AJ7" s="2072"/>
    </row>
    <row r="8" spans="1:36" s="851" customFormat="1" x14ac:dyDescent="0.25">
      <c r="A8" s="2044"/>
      <c r="B8" s="2039"/>
      <c r="C8" s="2040"/>
      <c r="D8" s="2039"/>
      <c r="E8" s="2039"/>
      <c r="F8" s="2044"/>
      <c r="G8" s="2198" t="s">
        <v>1594</v>
      </c>
      <c r="H8" s="2199"/>
      <c r="I8" s="2180"/>
      <c r="J8" s="2180" t="s">
        <v>1397</v>
      </c>
      <c r="K8" s="2180"/>
      <c r="L8" s="2180"/>
      <c r="M8" s="2180" t="s">
        <v>1397</v>
      </c>
      <c r="N8" s="2180"/>
      <c r="O8" s="2180"/>
      <c r="P8" s="2180" t="s">
        <v>1397</v>
      </c>
      <c r="Q8" s="2180"/>
      <c r="R8" s="2180"/>
      <c r="S8" s="2184"/>
      <c r="T8" s="2189" t="s">
        <v>2341</v>
      </c>
      <c r="U8" s="2157">
        <v>1</v>
      </c>
      <c r="V8" s="2157"/>
      <c r="W8" s="2157">
        <v>1</v>
      </c>
      <c r="X8" s="2127"/>
      <c r="Y8" s="2189" t="s">
        <v>2165</v>
      </c>
      <c r="Z8" s="2072"/>
      <c r="AA8" s="2157">
        <v>1</v>
      </c>
      <c r="AB8" s="2127"/>
      <c r="AC8" s="2072"/>
      <c r="AD8" s="2072" t="s">
        <v>2665</v>
      </c>
      <c r="AE8" s="2072"/>
      <c r="AF8" s="2157">
        <v>1</v>
      </c>
      <c r="AG8" s="2127"/>
      <c r="AH8" s="2072"/>
      <c r="AI8" s="2078" t="s">
        <v>2927</v>
      </c>
      <c r="AJ8" s="2072"/>
    </row>
    <row r="9" spans="1:36" s="851" customFormat="1" ht="32.25" customHeight="1" x14ac:dyDescent="0.25">
      <c r="A9" s="2044"/>
      <c r="B9" s="2039"/>
      <c r="C9" s="2040"/>
      <c r="D9" s="2039"/>
      <c r="E9" s="2039"/>
      <c r="F9" s="2044"/>
      <c r="G9" s="2198"/>
      <c r="H9" s="2200"/>
      <c r="I9" s="2181"/>
      <c r="J9" s="2181"/>
      <c r="K9" s="2181"/>
      <c r="L9" s="2181"/>
      <c r="M9" s="2181"/>
      <c r="N9" s="2181"/>
      <c r="O9" s="2181"/>
      <c r="P9" s="2181"/>
      <c r="Q9" s="2181"/>
      <c r="R9" s="2181"/>
      <c r="S9" s="2185"/>
      <c r="T9" s="2190"/>
      <c r="U9" s="2128"/>
      <c r="V9" s="2158"/>
      <c r="W9" s="2128"/>
      <c r="X9" s="2128"/>
      <c r="Y9" s="2190"/>
      <c r="Z9" s="2073"/>
      <c r="AA9" s="2128"/>
      <c r="AB9" s="2128"/>
      <c r="AC9" s="2073"/>
      <c r="AD9" s="2073"/>
      <c r="AE9" s="2073"/>
      <c r="AF9" s="2128"/>
      <c r="AG9" s="2128"/>
      <c r="AH9" s="2073"/>
      <c r="AI9" s="2079"/>
      <c r="AJ9" s="2073"/>
    </row>
    <row r="10" spans="1:36" x14ac:dyDescent="0.25">
      <c r="W10" s="611"/>
      <c r="X10" s="611"/>
      <c r="Y10" s="611"/>
      <c r="Z10" s="611"/>
      <c r="AA10" s="611"/>
      <c r="AB10" s="611"/>
      <c r="AC10" s="611"/>
      <c r="AD10" s="611"/>
      <c r="AE10" s="611"/>
      <c r="AF10" s="611"/>
      <c r="AG10" s="611"/>
      <c r="AH10" s="611"/>
      <c r="AI10" s="611"/>
      <c r="AJ10" s="611"/>
    </row>
    <row r="11" spans="1:36" x14ac:dyDescent="0.25">
      <c r="A11" s="2202" t="s">
        <v>2033</v>
      </c>
      <c r="B11" s="2202"/>
      <c r="T11" s="731" t="s">
        <v>2034</v>
      </c>
      <c r="U11" s="804"/>
      <c r="V11" s="750"/>
      <c r="W11" s="1140" t="s">
        <v>2405</v>
      </c>
      <c r="X11" s="1141" t="s">
        <v>2403</v>
      </c>
      <c r="Y11" s="729"/>
      <c r="Z11" s="611"/>
      <c r="AA11" s="1140" t="s">
        <v>2405</v>
      </c>
      <c r="AB11" s="1141" t="s">
        <v>2403</v>
      </c>
      <c r="AE11" s="611"/>
      <c r="AF11" s="1140" t="s">
        <v>2405</v>
      </c>
      <c r="AG11" s="1141" t="s">
        <v>2409</v>
      </c>
      <c r="AH11" s="729"/>
      <c r="AI11" s="729"/>
      <c r="AJ11" s="611"/>
    </row>
    <row r="12" spans="1:36" ht="21.75" customHeight="1" x14ac:dyDescent="0.25">
      <c r="A12" s="2201" t="s">
        <v>2035</v>
      </c>
      <c r="B12" s="2201"/>
      <c r="T12" s="732" t="s">
        <v>2048</v>
      </c>
      <c r="U12" s="1139">
        <v>0.87</v>
      </c>
      <c r="V12" s="750"/>
      <c r="W12" s="1141" t="s">
        <v>2421</v>
      </c>
      <c r="X12" s="1141" t="s">
        <v>2376</v>
      </c>
      <c r="Y12" s="1510">
        <f>(93%*25%)</f>
        <v>0.23250000000000001</v>
      </c>
      <c r="Z12" s="611"/>
      <c r="AA12" s="1141" t="s">
        <v>2421</v>
      </c>
      <c r="AB12" s="1141" t="s">
        <v>2376</v>
      </c>
      <c r="AC12" s="1510">
        <f>(93%*25%)</f>
        <v>0.23250000000000001</v>
      </c>
      <c r="AD12" s="611"/>
      <c r="AE12" s="611"/>
      <c r="AF12" s="1141" t="s">
        <v>2928</v>
      </c>
      <c r="AG12" s="1141" t="s">
        <v>2376</v>
      </c>
      <c r="AH12" s="1510">
        <f>(95%*25%)</f>
        <v>0.23749999999999999</v>
      </c>
      <c r="AI12" s="611"/>
      <c r="AJ12" s="611"/>
    </row>
    <row r="13" spans="1:36" ht="32.25" customHeight="1" x14ac:dyDescent="0.25">
      <c r="A13" s="2201" t="s">
        <v>2342</v>
      </c>
      <c r="B13" s="2201"/>
      <c r="T13" s="732" t="s">
        <v>2047</v>
      </c>
      <c r="U13" s="733">
        <v>0.218</v>
      </c>
      <c r="V13" s="750"/>
      <c r="W13" s="729"/>
      <c r="X13" s="729"/>
      <c r="Y13" s="729"/>
      <c r="Z13" s="611"/>
      <c r="AE13" s="611"/>
    </row>
    <row r="14" spans="1:36" ht="36.75" customHeight="1" x14ac:dyDescent="0.25">
      <c r="A14" s="2201" t="s">
        <v>2036</v>
      </c>
      <c r="B14" s="2201"/>
      <c r="T14" s="70"/>
    </row>
    <row r="15" spans="1:36" ht="32.25" customHeight="1" x14ac:dyDescent="0.25">
      <c r="A15" s="2201" t="s">
        <v>2037</v>
      </c>
      <c r="B15" s="2201"/>
    </row>
    <row r="16" spans="1:36" ht="69" customHeight="1" x14ac:dyDescent="0.25">
      <c r="A16" s="2201" t="s">
        <v>2038</v>
      </c>
      <c r="B16" s="2201"/>
    </row>
    <row r="17" spans="1:2" ht="63.75" customHeight="1" x14ac:dyDescent="0.25">
      <c r="A17" s="2201" t="s">
        <v>2039</v>
      </c>
      <c r="B17" s="2201"/>
    </row>
    <row r="18" spans="1:2" ht="30" customHeight="1" x14ac:dyDescent="0.25">
      <c r="A18" s="2201" t="s">
        <v>2343</v>
      </c>
      <c r="B18" s="2201"/>
    </row>
    <row r="19" spans="1:2" ht="30" customHeight="1" x14ac:dyDescent="0.25">
      <c r="A19" s="2201" t="s">
        <v>2040</v>
      </c>
      <c r="B19" s="2201"/>
    </row>
    <row r="20" spans="1:2" ht="30" customHeight="1" x14ac:dyDescent="0.25">
      <c r="A20" s="2201" t="s">
        <v>2344</v>
      </c>
      <c r="B20" s="2201"/>
    </row>
    <row r="21" spans="1:2" ht="30" customHeight="1" x14ac:dyDescent="0.25">
      <c r="A21" s="2201" t="s">
        <v>2041</v>
      </c>
      <c r="B21" s="2201"/>
    </row>
    <row r="22" spans="1:2" ht="30" customHeight="1" x14ac:dyDescent="0.25">
      <c r="A22" s="2201" t="s">
        <v>2042</v>
      </c>
      <c r="B22" s="2201"/>
    </row>
    <row r="23" spans="1:2" ht="30" customHeight="1" x14ac:dyDescent="0.25">
      <c r="A23" s="2201" t="s">
        <v>2043</v>
      </c>
      <c r="B23" s="2201"/>
    </row>
    <row r="24" spans="1:2" ht="30" customHeight="1" x14ac:dyDescent="0.25">
      <c r="A24" s="2201" t="s">
        <v>2044</v>
      </c>
      <c r="B24" s="2201"/>
    </row>
    <row r="25" spans="1:2" ht="30" customHeight="1" x14ac:dyDescent="0.25">
      <c r="A25" s="2201" t="s">
        <v>2045</v>
      </c>
      <c r="B25" s="2201"/>
    </row>
    <row r="26" spans="1:2" ht="30" customHeight="1" x14ac:dyDescent="0.25">
      <c r="A26" s="2201" t="s">
        <v>2046</v>
      </c>
      <c r="B26" s="2201"/>
    </row>
  </sheetData>
  <mergeCells count="101">
    <mergeCell ref="AF1:AJ1"/>
    <mergeCell ref="AF4:AF5"/>
    <mergeCell ref="AG4:AG9"/>
    <mergeCell ref="AH4:AH9"/>
    <mergeCell ref="AI4:AI5"/>
    <mergeCell ref="AJ4:AJ9"/>
    <mergeCell ref="AF6:AF7"/>
    <mergeCell ref="AI6:AI7"/>
    <mergeCell ref="AF8:AF9"/>
    <mergeCell ref="AI8:AI9"/>
    <mergeCell ref="AA1:AE1"/>
    <mergeCell ref="AA4:AA5"/>
    <mergeCell ref="AB4:AB9"/>
    <mergeCell ref="AE4:AE9"/>
    <mergeCell ref="AA6:AA7"/>
    <mergeCell ref="AA8:AA9"/>
    <mergeCell ref="AD4:AD5"/>
    <mergeCell ref="AD6:AD7"/>
    <mergeCell ref="AD8:AD9"/>
    <mergeCell ref="AC4:AC9"/>
    <mergeCell ref="A26:B26"/>
    <mergeCell ref="A15:B15"/>
    <mergeCell ref="A16:B16"/>
    <mergeCell ref="A17:B17"/>
    <mergeCell ref="A18:B18"/>
    <mergeCell ref="A19:B19"/>
    <mergeCell ref="A20:B20"/>
    <mergeCell ref="A21:B21"/>
    <mergeCell ref="L4:L5"/>
    <mergeCell ref="L6:L7"/>
    <mergeCell ref="H4:H5"/>
    <mergeCell ref="I4:I5"/>
    <mergeCell ref="J4:J5"/>
    <mergeCell ref="K4:K5"/>
    <mergeCell ref="A22:B22"/>
    <mergeCell ref="A23:B23"/>
    <mergeCell ref="A24:B24"/>
    <mergeCell ref="A25:B25"/>
    <mergeCell ref="A14:B14"/>
    <mergeCell ref="A13:B13"/>
    <mergeCell ref="K8:K9"/>
    <mergeCell ref="A11:B11"/>
    <mergeCell ref="A12:B12"/>
    <mergeCell ref="L8:L9"/>
    <mergeCell ref="A4:A9"/>
    <mergeCell ref="B4:B9"/>
    <mergeCell ref="C4:C9"/>
    <mergeCell ref="D4:D9"/>
    <mergeCell ref="E4:E9"/>
    <mergeCell ref="F4:F9"/>
    <mergeCell ref="G4:G5"/>
    <mergeCell ref="G6:G7"/>
    <mergeCell ref="H6:H7"/>
    <mergeCell ref="I6:I7"/>
    <mergeCell ref="J6:J7"/>
    <mergeCell ref="K6:K7"/>
    <mergeCell ref="G8:G9"/>
    <mergeCell ref="P6:P7"/>
    <mergeCell ref="O8:O9"/>
    <mergeCell ref="O6:O7"/>
    <mergeCell ref="N8:N9"/>
    <mergeCell ref="H8:H9"/>
    <mergeCell ref="I8:I9"/>
    <mergeCell ref="J8:J9"/>
    <mergeCell ref="A1:G1"/>
    <mergeCell ref="A2:G2"/>
    <mergeCell ref="W1:Z1"/>
    <mergeCell ref="W6:W7"/>
    <mergeCell ref="W8:W9"/>
    <mergeCell ref="Y6:Y7"/>
    <mergeCell ref="Y8:Y9"/>
    <mergeCell ref="W4:W5"/>
    <mergeCell ref="X4:X9"/>
    <mergeCell ref="Y4:Y5"/>
    <mergeCell ref="N4:N5"/>
    <mergeCell ref="O4:O5"/>
    <mergeCell ref="P4:P5"/>
    <mergeCell ref="Q4:Q5"/>
    <mergeCell ref="R4:R5"/>
    <mergeCell ref="T8:T9"/>
    <mergeCell ref="U8:U9"/>
    <mergeCell ref="S6:S7"/>
    <mergeCell ref="T6:T7"/>
    <mergeCell ref="R6:R7"/>
    <mergeCell ref="S4:S5"/>
    <mergeCell ref="H1:S1"/>
    <mergeCell ref="T1:V1"/>
    <mergeCell ref="T4:T5"/>
    <mergeCell ref="Z4:Z9"/>
    <mergeCell ref="U6:U7"/>
    <mergeCell ref="M8:M9"/>
    <mergeCell ref="M6:M7"/>
    <mergeCell ref="N6:N7"/>
    <mergeCell ref="M4:M5"/>
    <mergeCell ref="R8:R9"/>
    <mergeCell ref="S8:S9"/>
    <mergeCell ref="U4:U5"/>
    <mergeCell ref="V4:V9"/>
    <mergeCell ref="P8:P9"/>
    <mergeCell ref="Q8:Q9"/>
    <mergeCell ref="Q6:Q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L19"/>
  <sheetViews>
    <sheetView topLeftCell="C1" zoomScaleNormal="100" zoomScaleSheetLayoutView="85" workbookViewId="0">
      <pane xSplit="6" ySplit="3" topLeftCell="AH8" activePane="bottomRight" state="frozen"/>
      <selection activeCell="AI4" sqref="AI4:AI5"/>
      <selection pane="topRight" activeCell="AI4" sqref="AI4:AI5"/>
      <selection pane="bottomLeft" activeCell="AI4" sqref="AI4:AI5"/>
      <selection pane="bottomRight" activeCell="AH15" sqref="AH15"/>
    </sheetView>
  </sheetViews>
  <sheetFormatPr baseColWidth="10" defaultColWidth="11.5703125" defaultRowHeight="15" x14ac:dyDescent="0.25"/>
  <cols>
    <col min="1" max="1" width="18.5703125" style="904" customWidth="1"/>
    <col min="2" max="2" width="16.5703125" style="905" customWidth="1"/>
    <col min="3" max="3" width="24.42578125" style="894" customWidth="1"/>
    <col min="4" max="4" width="6.85546875" style="886" customWidth="1"/>
    <col min="5" max="5" width="18.85546875" style="894" customWidth="1"/>
    <col min="6" max="6" width="25.5703125" style="894" customWidth="1"/>
    <col min="7" max="7" width="21.140625" style="894" customWidth="1"/>
    <col min="8" max="8" width="41.42578125" style="895" customWidth="1"/>
    <col min="9" max="9" width="7" style="886" bestFit="1" customWidth="1"/>
    <col min="10" max="10" width="9"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customWidth="1"/>
    <col min="20" max="20" width="10.7109375" style="886" bestFit="1" customWidth="1"/>
    <col min="21" max="21" width="11.5703125" style="886" hidden="1" customWidth="1"/>
    <col min="22" max="22" width="14.85546875" style="886" hidden="1" customWidth="1"/>
    <col min="23" max="23" width="72.140625" style="886" hidden="1" customWidth="1"/>
    <col min="24" max="24" width="21.140625" style="886" hidden="1" customWidth="1"/>
    <col min="25" max="25" width="11.42578125" style="905" hidden="1" customWidth="1"/>
    <col min="26" max="26" width="17.28515625" style="886" hidden="1" customWidth="1"/>
    <col min="27" max="27" width="89.5703125" style="886" hidden="1" customWidth="1"/>
    <col min="28" max="28" width="33.42578125" style="886" hidden="1" customWidth="1"/>
    <col min="29" max="29" width="11.42578125" style="905" customWidth="1"/>
    <col min="30" max="30" width="17.28515625" style="886" customWidth="1"/>
    <col min="31" max="31" width="44.140625" style="886" bestFit="1" customWidth="1"/>
    <col min="32" max="32" width="83.140625" style="886" customWidth="1"/>
    <col min="33" max="33" width="33.42578125" style="886" customWidth="1"/>
    <col min="34" max="36" width="11.5703125" style="886"/>
    <col min="37" max="37" width="95.28515625" style="886" customWidth="1"/>
    <col min="38" max="16384" width="11.5703125" style="886"/>
  </cols>
  <sheetData>
    <row r="1" spans="1:38" ht="58.5" customHeight="1" x14ac:dyDescent="0.25">
      <c r="A1" s="2094" t="s">
        <v>2557</v>
      </c>
      <c r="B1" s="2094"/>
      <c r="C1" s="2094"/>
      <c r="D1" s="2094"/>
      <c r="E1" s="2094"/>
      <c r="F1" s="2094"/>
      <c r="G1" s="2094"/>
      <c r="H1" s="2094"/>
      <c r="I1" s="2009" t="s">
        <v>1351</v>
      </c>
      <c r="J1" s="2010"/>
      <c r="K1" s="2010"/>
      <c r="L1" s="2010"/>
      <c r="M1" s="2010"/>
      <c r="N1" s="2010"/>
      <c r="O1" s="2010"/>
      <c r="P1" s="2010"/>
      <c r="Q1" s="2010"/>
      <c r="R1" s="2010"/>
      <c r="S1" s="2010"/>
      <c r="T1" s="2011"/>
      <c r="U1" s="2173"/>
      <c r="V1" s="2172"/>
      <c r="W1" s="2172"/>
      <c r="X1" s="2172"/>
      <c r="Y1" s="2208" t="s">
        <v>2138</v>
      </c>
      <c r="Z1" s="2209"/>
      <c r="AA1" s="2209"/>
      <c r="AB1" s="2209"/>
      <c r="AC1" s="2208" t="s">
        <v>2631</v>
      </c>
      <c r="AD1" s="2209"/>
      <c r="AE1" s="2209"/>
      <c r="AF1" s="2209"/>
      <c r="AG1" s="2209"/>
      <c r="AH1" s="2208" t="s">
        <v>2872</v>
      </c>
      <c r="AI1" s="2209"/>
      <c r="AJ1" s="2209"/>
      <c r="AK1" s="2209"/>
      <c r="AL1" s="2209"/>
    </row>
    <row r="2" spans="1:38" ht="7.5" customHeight="1" x14ac:dyDescent="0.25">
      <c r="A2" s="900"/>
      <c r="B2" s="894"/>
      <c r="C2" s="807"/>
      <c r="D2" s="807"/>
      <c r="E2" s="807"/>
      <c r="F2" s="807"/>
      <c r="G2" s="808"/>
      <c r="H2" s="793"/>
      <c r="Y2" s="1581"/>
      <c r="Z2" s="611"/>
      <c r="AA2" s="611"/>
      <c r="AB2" s="611"/>
      <c r="AC2" s="1581"/>
      <c r="AD2" s="611"/>
      <c r="AE2" s="611"/>
      <c r="AF2" s="611"/>
      <c r="AG2" s="611"/>
      <c r="AH2" s="1581"/>
      <c r="AI2" s="611"/>
      <c r="AJ2" s="611"/>
      <c r="AK2" s="611"/>
      <c r="AL2" s="611"/>
    </row>
    <row r="3" spans="1:38" s="906" customFormat="1" ht="51.75" customHeight="1"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1925</v>
      </c>
      <c r="X3" s="779" t="s">
        <v>2063</v>
      </c>
      <c r="Y3" s="1582" t="s">
        <v>1926</v>
      </c>
      <c r="Z3" s="1582" t="s">
        <v>1927</v>
      </c>
      <c r="AA3" s="1582" t="s">
        <v>2126</v>
      </c>
      <c r="AB3" s="1582" t="s">
        <v>1928</v>
      </c>
      <c r="AC3" s="1635" t="s">
        <v>1926</v>
      </c>
      <c r="AD3" s="1635" t="s">
        <v>1927</v>
      </c>
      <c r="AE3" s="1635" t="s">
        <v>2126</v>
      </c>
      <c r="AF3" s="1635" t="s">
        <v>1925</v>
      </c>
      <c r="AG3" s="1635" t="s">
        <v>1928</v>
      </c>
      <c r="AH3" s="1635" t="s">
        <v>1926</v>
      </c>
      <c r="AI3" s="1635" t="s">
        <v>1927</v>
      </c>
      <c r="AJ3" s="1635" t="s">
        <v>2126</v>
      </c>
      <c r="AK3" s="1635" t="s">
        <v>1925</v>
      </c>
      <c r="AL3" s="1635" t="s">
        <v>1928</v>
      </c>
    </row>
    <row r="4" spans="1:38" ht="194.25" customHeight="1" x14ac:dyDescent="0.25">
      <c r="A4" s="1951" t="s">
        <v>1482</v>
      </c>
      <c r="B4" s="1952" t="s">
        <v>1583</v>
      </c>
      <c r="C4" s="1986" t="s">
        <v>1751</v>
      </c>
      <c r="D4" s="1959">
        <v>0.85</v>
      </c>
      <c r="E4" s="1986" t="s">
        <v>1649</v>
      </c>
      <c r="F4" s="1986" t="s">
        <v>1626</v>
      </c>
      <c r="G4" s="1952" t="s">
        <v>1595</v>
      </c>
      <c r="H4" s="957" t="s">
        <v>1650</v>
      </c>
      <c r="I4" s="1154"/>
      <c r="J4" s="1155"/>
      <c r="K4" s="1156">
        <v>0.1</v>
      </c>
      <c r="L4" s="1155"/>
      <c r="M4" s="1155"/>
      <c r="N4" s="1155"/>
      <c r="O4" s="1155"/>
      <c r="P4" s="1155"/>
      <c r="Q4" s="1155"/>
      <c r="R4" s="1155"/>
      <c r="S4" s="1155"/>
      <c r="T4" s="1157"/>
      <c r="U4" s="1221">
        <v>0.1</v>
      </c>
      <c r="V4" s="2205">
        <f>27/50</f>
        <v>0.54</v>
      </c>
      <c r="W4" s="2210" t="s">
        <v>2062</v>
      </c>
      <c r="X4" s="2210" t="s">
        <v>2348</v>
      </c>
      <c r="Y4" s="1583">
        <v>0.5</v>
      </c>
      <c r="Z4" s="2213">
        <v>0.75</v>
      </c>
      <c r="AA4" s="2216" t="s">
        <v>2587</v>
      </c>
      <c r="AB4" s="2216"/>
      <c r="AC4" s="1649">
        <v>0.5</v>
      </c>
      <c r="AD4" s="2233">
        <v>0.75</v>
      </c>
      <c r="AE4" s="2222" t="s">
        <v>2681</v>
      </c>
      <c r="AF4" s="2225" t="s">
        <v>2867</v>
      </c>
      <c r="AG4" s="2236"/>
      <c r="AH4" s="1649">
        <v>0.6</v>
      </c>
      <c r="AI4" s="2219">
        <v>0.86</v>
      </c>
      <c r="AJ4" s="2222" t="s">
        <v>2681</v>
      </c>
      <c r="AK4" s="2225" t="s">
        <v>2929</v>
      </c>
      <c r="AL4" s="2216" t="s">
        <v>2931</v>
      </c>
    </row>
    <row r="5" spans="1:38" ht="198.75" customHeight="1" x14ac:dyDescent="0.25">
      <c r="A5" s="1951"/>
      <c r="B5" s="1952"/>
      <c r="C5" s="1986"/>
      <c r="D5" s="1986"/>
      <c r="E5" s="1986"/>
      <c r="F5" s="1986"/>
      <c r="G5" s="1952"/>
      <c r="H5" s="957" t="s">
        <v>1627</v>
      </c>
      <c r="I5" s="1158"/>
      <c r="J5" s="1159"/>
      <c r="K5" s="1160">
        <v>0.1</v>
      </c>
      <c r="L5" s="1159"/>
      <c r="M5" s="1159"/>
      <c r="N5" s="1159"/>
      <c r="O5" s="1159"/>
      <c r="P5" s="1159"/>
      <c r="Q5" s="1159"/>
      <c r="R5" s="1159"/>
      <c r="S5" s="1159"/>
      <c r="T5" s="1161"/>
      <c r="U5" s="1222">
        <v>0.1</v>
      </c>
      <c r="V5" s="2206"/>
      <c r="W5" s="2211"/>
      <c r="X5" s="2211"/>
      <c r="Y5" s="1584">
        <v>1</v>
      </c>
      <c r="Z5" s="2214"/>
      <c r="AA5" s="2230"/>
      <c r="AB5" s="2217"/>
      <c r="AC5" s="1650">
        <v>1</v>
      </c>
      <c r="AD5" s="2234"/>
      <c r="AE5" s="2223"/>
      <c r="AF5" s="2232"/>
      <c r="AG5" s="2237"/>
      <c r="AH5" s="1650">
        <v>1</v>
      </c>
      <c r="AI5" s="2220"/>
      <c r="AJ5" s="2223"/>
      <c r="AK5" s="2226"/>
      <c r="AL5" s="2217"/>
    </row>
    <row r="6" spans="1:38" ht="150" customHeight="1" x14ac:dyDescent="0.25">
      <c r="A6" s="1951"/>
      <c r="B6" s="1952"/>
      <c r="C6" s="1986"/>
      <c r="D6" s="1986"/>
      <c r="E6" s="1986"/>
      <c r="F6" s="1986"/>
      <c r="G6" s="1952"/>
      <c r="H6" s="957" t="s">
        <v>1651</v>
      </c>
      <c r="I6" s="1158"/>
      <c r="J6" s="1159"/>
      <c r="K6" s="1160">
        <v>0</v>
      </c>
      <c r="L6" s="1159"/>
      <c r="M6" s="1159"/>
      <c r="N6" s="1159"/>
      <c r="O6" s="1159"/>
      <c r="P6" s="1159"/>
      <c r="Q6" s="1159"/>
      <c r="R6" s="1159"/>
      <c r="S6" s="1159"/>
      <c r="T6" s="1161"/>
      <c r="U6" s="1222">
        <v>0</v>
      </c>
      <c r="V6" s="2206"/>
      <c r="W6" s="2211"/>
      <c r="X6" s="2211"/>
      <c r="Y6" s="1584" t="s">
        <v>353</v>
      </c>
      <c r="Z6" s="2214"/>
      <c r="AA6" s="2230"/>
      <c r="AB6" s="2217"/>
      <c r="AC6" s="1650" t="s">
        <v>353</v>
      </c>
      <c r="AD6" s="2234"/>
      <c r="AE6" s="2223"/>
      <c r="AF6" s="2227" t="s">
        <v>2868</v>
      </c>
      <c r="AG6" s="2237"/>
      <c r="AH6" s="1650">
        <v>1</v>
      </c>
      <c r="AI6" s="2220"/>
      <c r="AJ6" s="2223"/>
      <c r="AK6" s="2227" t="s">
        <v>2930</v>
      </c>
      <c r="AL6" s="2217"/>
    </row>
    <row r="7" spans="1:38" ht="150" customHeight="1" x14ac:dyDescent="0.25">
      <c r="A7" s="1951"/>
      <c r="B7" s="1952"/>
      <c r="C7" s="1986"/>
      <c r="D7" s="1986"/>
      <c r="E7" s="1986"/>
      <c r="F7" s="1986"/>
      <c r="G7" s="1952"/>
      <c r="H7" s="957" t="s">
        <v>1652</v>
      </c>
      <c r="I7" s="1158"/>
      <c r="J7" s="1159"/>
      <c r="K7" s="1160">
        <v>3.3300000000000003E-2</v>
      </c>
      <c r="L7" s="1159"/>
      <c r="M7" s="1159"/>
      <c r="N7" s="1159"/>
      <c r="O7" s="1159"/>
      <c r="P7" s="1159"/>
      <c r="Q7" s="1159"/>
      <c r="R7" s="1159"/>
      <c r="S7" s="1159"/>
      <c r="T7" s="1161"/>
      <c r="U7" s="1222">
        <v>3.3300000000000003E-2</v>
      </c>
      <c r="V7" s="2206"/>
      <c r="W7" s="2211"/>
      <c r="X7" s="2211"/>
      <c r="Y7" s="1584">
        <v>1</v>
      </c>
      <c r="Z7" s="2214"/>
      <c r="AA7" s="2230"/>
      <c r="AB7" s="2217"/>
      <c r="AC7" s="1650">
        <v>1</v>
      </c>
      <c r="AD7" s="2234"/>
      <c r="AE7" s="2223"/>
      <c r="AF7" s="2228"/>
      <c r="AG7" s="2237"/>
      <c r="AH7" s="1650">
        <v>0.7</v>
      </c>
      <c r="AI7" s="2220"/>
      <c r="AJ7" s="2223"/>
      <c r="AK7" s="2228"/>
      <c r="AL7" s="2217"/>
    </row>
    <row r="8" spans="1:38" ht="159.75" customHeight="1" x14ac:dyDescent="0.25">
      <c r="A8" s="1951"/>
      <c r="B8" s="1952"/>
      <c r="C8" s="1986"/>
      <c r="D8" s="1986"/>
      <c r="E8" s="1986"/>
      <c r="F8" s="1986"/>
      <c r="G8" s="1952"/>
      <c r="H8" s="747" t="s">
        <v>2287</v>
      </c>
      <c r="I8" s="1162"/>
      <c r="J8" s="1163"/>
      <c r="K8" s="1164">
        <v>3.3300000000000003E-2</v>
      </c>
      <c r="L8" s="1163"/>
      <c r="M8" s="1163"/>
      <c r="N8" s="1163"/>
      <c r="O8" s="1163"/>
      <c r="P8" s="1163"/>
      <c r="Q8" s="1163"/>
      <c r="R8" s="1163"/>
      <c r="S8" s="1163"/>
      <c r="T8" s="1165"/>
      <c r="U8" s="1223">
        <v>3.3300000000000003E-2</v>
      </c>
      <c r="V8" s="2207"/>
      <c r="W8" s="2212"/>
      <c r="X8" s="2212"/>
      <c r="Y8" s="1585">
        <v>0.5</v>
      </c>
      <c r="Z8" s="2215"/>
      <c r="AA8" s="2231"/>
      <c r="AB8" s="2218"/>
      <c r="AC8" s="1651">
        <v>0.5</v>
      </c>
      <c r="AD8" s="2235"/>
      <c r="AE8" s="2224"/>
      <c r="AF8" s="2229"/>
      <c r="AG8" s="2238"/>
      <c r="AH8" s="1651">
        <v>1</v>
      </c>
      <c r="AI8" s="2221"/>
      <c r="AJ8" s="2224"/>
      <c r="AK8" s="2229"/>
      <c r="AL8" s="2218"/>
    </row>
    <row r="9" spans="1:38" ht="63.75" customHeight="1" x14ac:dyDescent="0.25">
      <c r="A9" s="902" t="s">
        <v>2280</v>
      </c>
      <c r="B9" s="903"/>
      <c r="C9" s="891"/>
      <c r="D9" s="892"/>
      <c r="E9" s="891"/>
      <c r="F9" s="891"/>
      <c r="G9" s="891"/>
      <c r="H9" s="1145"/>
      <c r="I9" s="1151"/>
      <c r="J9" s="1143"/>
      <c r="K9" s="1152"/>
      <c r="L9" s="1143"/>
      <c r="M9" s="1143"/>
      <c r="N9" s="1143"/>
      <c r="O9" s="1143"/>
      <c r="P9" s="1143"/>
      <c r="Q9" s="1143"/>
      <c r="R9" s="1143"/>
      <c r="S9" s="1143"/>
      <c r="T9" s="1143"/>
      <c r="U9" s="1143"/>
      <c r="V9" s="1143"/>
      <c r="W9" s="1144"/>
      <c r="Y9" s="1586"/>
      <c r="Z9" s="1587"/>
      <c r="AA9" s="611"/>
      <c r="AB9" s="611"/>
      <c r="AC9" s="1586"/>
      <c r="AD9" s="1587"/>
      <c r="AE9" s="1652"/>
      <c r="AF9" s="611"/>
      <c r="AG9" s="611"/>
      <c r="AH9" s="1586"/>
      <c r="AI9" s="1587"/>
      <c r="AJ9" s="1652"/>
      <c r="AK9" s="611"/>
      <c r="AL9" s="611"/>
    </row>
    <row r="10" spans="1:38" x14ac:dyDescent="0.25">
      <c r="A10" s="902"/>
      <c r="B10" s="903"/>
      <c r="C10" s="891"/>
      <c r="D10" s="892"/>
      <c r="E10" s="891"/>
      <c r="F10" s="891"/>
      <c r="G10" s="891"/>
      <c r="H10" s="1145"/>
      <c r="I10" s="1151"/>
      <c r="J10" s="1143"/>
      <c r="K10" s="1143"/>
      <c r="L10" s="1143"/>
      <c r="M10" s="1143"/>
      <c r="N10" s="1143"/>
      <c r="O10" s="1143"/>
      <c r="P10" s="1143"/>
      <c r="Q10" s="1143"/>
      <c r="R10" s="1143"/>
      <c r="S10" s="1143"/>
      <c r="T10" s="1143"/>
      <c r="U10" s="1143"/>
      <c r="V10" s="1146" t="s">
        <v>2018</v>
      </c>
      <c r="W10" s="1146" t="s">
        <v>1970</v>
      </c>
      <c r="X10" s="1144"/>
      <c r="Y10" s="1586"/>
      <c r="Z10" s="1588" t="s">
        <v>2018</v>
      </c>
      <c r="AA10" s="1588" t="s">
        <v>2588</v>
      </c>
      <c r="AB10" s="611"/>
      <c r="AC10" s="1586"/>
      <c r="AD10" s="1588" t="s">
        <v>2018</v>
      </c>
      <c r="AE10" s="1588"/>
      <c r="AF10" s="611"/>
      <c r="AH10" s="1586"/>
      <c r="AI10" s="1588" t="s">
        <v>2018</v>
      </c>
      <c r="AJ10" s="1588" t="s">
        <v>2932</v>
      </c>
      <c r="AK10" s="611"/>
    </row>
    <row r="11" spans="1:38" x14ac:dyDescent="0.25">
      <c r="V11" s="1146" t="s">
        <v>2136</v>
      </c>
      <c r="W11" s="1148" t="s">
        <v>2016</v>
      </c>
      <c r="X11" s="1149">
        <f>(90%*25%)</f>
        <v>0.22500000000000001</v>
      </c>
      <c r="Y11" s="1581"/>
      <c r="Z11" s="1588" t="s">
        <v>2589</v>
      </c>
      <c r="AA11" s="1589" t="s">
        <v>2590</v>
      </c>
      <c r="AB11" s="1593">
        <f>(75%*25%)</f>
        <v>0.1875</v>
      </c>
      <c r="AC11" s="1581"/>
      <c r="AD11" s="1588" t="s">
        <v>2589</v>
      </c>
      <c r="AE11" s="1647"/>
      <c r="AF11" s="1653">
        <f>(75%*25%)</f>
        <v>0.1875</v>
      </c>
      <c r="AH11" s="1581"/>
      <c r="AI11" s="1588" t="s">
        <v>2933</v>
      </c>
      <c r="AJ11" s="1647"/>
      <c r="AK11" s="1653">
        <f>(86%*25%)</f>
        <v>0.215</v>
      </c>
    </row>
    <row r="12" spans="1:38" x14ac:dyDescent="0.25">
      <c r="X12" s="909"/>
      <c r="AE12" s="886" t="s">
        <v>2672</v>
      </c>
      <c r="AH12" s="905"/>
      <c r="AJ12" s="886" t="s">
        <v>2672</v>
      </c>
    </row>
    <row r="13" spans="1:38" x14ac:dyDescent="0.25">
      <c r="V13" s="909"/>
      <c r="AE13" s="886" t="s">
        <v>2673</v>
      </c>
      <c r="AH13" s="905"/>
      <c r="AJ13" s="886" t="s">
        <v>2673</v>
      </c>
    </row>
    <row r="14" spans="1:38" x14ac:dyDescent="0.25">
      <c r="V14" s="909"/>
    </row>
    <row r="15" spans="1:38" ht="45" x14ac:dyDescent="0.25">
      <c r="H15" s="1153" t="s">
        <v>1650</v>
      </c>
    </row>
    <row r="16" spans="1:38" ht="45" x14ac:dyDescent="0.25">
      <c r="H16" s="1153" t="s">
        <v>1627</v>
      </c>
    </row>
    <row r="17" spans="8:8" ht="45" x14ac:dyDescent="0.25">
      <c r="H17" s="957" t="s">
        <v>1651</v>
      </c>
    </row>
    <row r="18" spans="8:8" ht="60" x14ac:dyDescent="0.25">
      <c r="H18" s="957" t="s">
        <v>1652</v>
      </c>
    </row>
    <row r="19" spans="8:8" ht="60" x14ac:dyDescent="0.25">
      <c r="H19" s="1153" t="s">
        <v>1653</v>
      </c>
    </row>
  </sheetData>
  <mergeCells count="29">
    <mergeCell ref="AA4:AA8"/>
    <mergeCell ref="AF4:AF5"/>
    <mergeCell ref="AF6:AF8"/>
    <mergeCell ref="AC1:AG1"/>
    <mergeCell ref="AD4:AD8"/>
    <mergeCell ref="AE4:AE8"/>
    <mergeCell ref="AG4:AG8"/>
    <mergeCell ref="AH1:AL1"/>
    <mergeCell ref="AI4:AI8"/>
    <mergeCell ref="AJ4:AJ8"/>
    <mergeCell ref="AK4:AK5"/>
    <mergeCell ref="AL4:AL8"/>
    <mergeCell ref="AK6:AK8"/>
    <mergeCell ref="I1:T1"/>
    <mergeCell ref="U1:X1"/>
    <mergeCell ref="V4:V8"/>
    <mergeCell ref="Y1:AB1"/>
    <mergeCell ref="E4:E8"/>
    <mergeCell ref="F4:F8"/>
    <mergeCell ref="G4:G8"/>
    <mergeCell ref="W4:W8"/>
    <mergeCell ref="X4:X8"/>
    <mergeCell ref="A1:H1"/>
    <mergeCell ref="A4:A8"/>
    <mergeCell ref="B4:B8"/>
    <mergeCell ref="C4:C8"/>
    <mergeCell ref="D4:D8"/>
    <mergeCell ref="Z4:Z8"/>
    <mergeCell ref="AB4:AB8"/>
  </mergeCells>
  <pageMargins left="0.70866141732283472" right="0.70866141732283472" top="0.74803149606299213" bottom="0.74803149606299213" header="0.31496062992125984" footer="0.31496062992125984"/>
  <pageSetup scale="2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8"/>
    <pageSetUpPr fitToPage="1"/>
  </sheetPr>
  <dimension ref="A1:AP19"/>
  <sheetViews>
    <sheetView topLeftCell="C1" zoomScale="85" zoomScaleNormal="85" zoomScaleSheetLayoutView="85" workbookViewId="0">
      <pane xSplit="6" ySplit="3" topLeftCell="AI4" activePane="bottomRight" state="frozen"/>
      <selection activeCell="AI4" sqref="AI4:AI5"/>
      <selection pane="topRight" activeCell="AI4" sqref="AI4:AI5"/>
      <selection pane="bottomLeft" activeCell="AI4" sqref="AI4:AI5"/>
      <selection pane="bottomRight" activeCell="AI4" sqref="AI4:AI5"/>
    </sheetView>
  </sheetViews>
  <sheetFormatPr baseColWidth="10" defaultColWidth="11.5703125" defaultRowHeight="15" x14ac:dyDescent="0.25"/>
  <cols>
    <col min="1" max="1" width="14.42578125" style="904" customWidth="1"/>
    <col min="2" max="2" width="20.7109375" style="905" customWidth="1"/>
    <col min="3" max="3" width="26" style="894" customWidth="1"/>
    <col min="4" max="4" width="11.42578125" style="886" customWidth="1"/>
    <col min="5" max="5" width="18.7109375" style="894" customWidth="1"/>
    <col min="6" max="6" width="25.5703125" style="894" customWidth="1"/>
    <col min="7" max="7" width="17.85546875" style="894" customWidth="1"/>
    <col min="8" max="8" width="35.5703125" style="895" customWidth="1"/>
    <col min="9" max="9" width="7" style="886" bestFit="1" customWidth="1"/>
    <col min="10" max="11" width="9" style="886" bestFit="1" customWidth="1"/>
    <col min="12" max="12" width="7.7109375" style="886" bestFit="1" customWidth="1"/>
    <col min="13" max="13" width="7.140625" style="886" bestFit="1" customWidth="1"/>
    <col min="14" max="14" width="6.7109375" style="886" bestFit="1" customWidth="1"/>
    <col min="15" max="15" width="8.7109375" style="886" customWidth="1"/>
    <col min="16" max="16" width="8.5703125" style="886" bestFit="1" customWidth="1"/>
    <col min="17" max="20" width="11.85546875" style="886" bestFit="1" customWidth="1"/>
    <col min="21" max="21" width="14.7109375" style="886" customWidth="1"/>
    <col min="22" max="22" width="11.5703125" style="886" customWidth="1"/>
    <col min="23" max="23" width="16.42578125" style="886" customWidth="1"/>
    <col min="24" max="25" width="19.42578125" style="886" customWidth="1"/>
    <col min="26" max="26" width="21.42578125" style="886" customWidth="1"/>
    <col min="27" max="27" width="20.42578125" style="886" customWidth="1"/>
    <col min="28" max="37" width="20.5703125" style="886" customWidth="1"/>
    <col min="38" max="38" width="20.7109375" style="886" customWidth="1"/>
    <col min="39" max="39" width="11.42578125" style="886" customWidth="1"/>
    <col min="40" max="40" width="18.42578125" style="886" customWidth="1"/>
    <col min="41" max="16384" width="11.5703125" style="886"/>
  </cols>
  <sheetData>
    <row r="1" spans="1:42" ht="62.25" customHeight="1" x14ac:dyDescent="0.25">
      <c r="A1" s="2094" t="s">
        <v>2558</v>
      </c>
      <c r="B1" s="2094"/>
      <c r="C1" s="2094"/>
      <c r="D1" s="2094"/>
      <c r="E1" s="2094"/>
      <c r="F1" s="2094"/>
      <c r="G1" s="2094"/>
      <c r="H1" s="2094"/>
      <c r="I1" s="1939" t="s">
        <v>1351</v>
      </c>
      <c r="J1" s="1939"/>
      <c r="K1" s="1939"/>
      <c r="L1" s="1939"/>
      <c r="M1" s="1939"/>
      <c r="N1" s="1939"/>
      <c r="O1" s="1939"/>
      <c r="P1" s="1939"/>
      <c r="Q1" s="1939"/>
      <c r="R1" s="1939"/>
      <c r="S1" s="1939"/>
      <c r="T1" s="1939"/>
      <c r="U1" s="2173" t="s">
        <v>2131</v>
      </c>
      <c r="V1" s="2239"/>
      <c r="W1" s="2239"/>
      <c r="X1" s="1992" t="s">
        <v>2138</v>
      </c>
      <c r="Y1" s="2116"/>
      <c r="Z1" s="2116"/>
      <c r="AA1" s="2116"/>
      <c r="AB1" s="1992" t="s">
        <v>2138</v>
      </c>
      <c r="AC1" s="2116"/>
      <c r="AD1" s="2116"/>
      <c r="AE1" s="2116"/>
      <c r="AF1" s="2116"/>
      <c r="AG1" s="1992" t="s">
        <v>2630</v>
      </c>
      <c r="AH1" s="2116"/>
      <c r="AI1" s="2116"/>
      <c r="AJ1" s="2116"/>
      <c r="AK1" s="2116"/>
      <c r="AL1" s="1992" t="s">
        <v>2871</v>
      </c>
      <c r="AM1" s="2116"/>
      <c r="AN1" s="2116"/>
      <c r="AO1" s="2116"/>
      <c r="AP1" s="2116"/>
    </row>
    <row r="2" spans="1:42" ht="7.5" customHeight="1" x14ac:dyDescent="0.25">
      <c r="A2" s="900"/>
      <c r="B2" s="894"/>
      <c r="C2" s="807"/>
      <c r="D2" s="807"/>
      <c r="E2" s="807"/>
      <c r="F2" s="807"/>
      <c r="G2" s="808"/>
      <c r="H2" s="793"/>
      <c r="X2" s="905"/>
      <c r="AB2" s="905"/>
      <c r="AG2" s="905"/>
      <c r="AL2" s="905"/>
    </row>
    <row r="3" spans="1:42" s="906" customFormat="1" ht="51.75" customHeight="1"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928" t="s">
        <v>1363</v>
      </c>
      <c r="U3" s="777" t="s">
        <v>2017</v>
      </c>
      <c r="V3" s="777" t="s">
        <v>1927</v>
      </c>
      <c r="W3" s="777" t="s">
        <v>1928</v>
      </c>
      <c r="X3" s="777" t="s">
        <v>1926</v>
      </c>
      <c r="Y3" s="777" t="s">
        <v>1927</v>
      </c>
      <c r="Z3" s="777" t="s">
        <v>2126</v>
      </c>
      <c r="AA3" s="777" t="s">
        <v>1928</v>
      </c>
      <c r="AB3" s="777" t="s">
        <v>1926</v>
      </c>
      <c r="AC3" s="777" t="s">
        <v>1927</v>
      </c>
      <c r="AD3" s="777" t="s">
        <v>2126</v>
      </c>
      <c r="AE3" s="777" t="s">
        <v>1925</v>
      </c>
      <c r="AF3" s="777" t="s">
        <v>1928</v>
      </c>
      <c r="AG3" s="1633" t="s">
        <v>1926</v>
      </c>
      <c r="AH3" s="1633" t="s">
        <v>1927</v>
      </c>
      <c r="AI3" s="1633" t="s">
        <v>2126</v>
      </c>
      <c r="AJ3" s="1633" t="s">
        <v>1925</v>
      </c>
      <c r="AK3" s="1633" t="s">
        <v>1928</v>
      </c>
      <c r="AL3" s="1633" t="s">
        <v>1926</v>
      </c>
      <c r="AM3" s="1633" t="s">
        <v>1927</v>
      </c>
      <c r="AN3" s="1633" t="s">
        <v>2126</v>
      </c>
      <c r="AO3" s="1633" t="s">
        <v>1925</v>
      </c>
      <c r="AP3" s="1633" t="s">
        <v>1928</v>
      </c>
    </row>
    <row r="4" spans="1:42" s="908" customFormat="1" ht="79.5" customHeight="1" x14ac:dyDescent="0.25">
      <c r="A4" s="1951" t="s">
        <v>1482</v>
      </c>
      <c r="B4" s="1952" t="s">
        <v>1583</v>
      </c>
      <c r="C4" s="1986" t="s">
        <v>1628</v>
      </c>
      <c r="D4" s="1959">
        <v>0.85</v>
      </c>
      <c r="E4" s="1986" t="s">
        <v>1654</v>
      </c>
      <c r="F4" s="1986" t="s">
        <v>1629</v>
      </c>
      <c r="G4" s="1952" t="s">
        <v>235</v>
      </c>
      <c r="H4" s="957" t="s">
        <v>1655</v>
      </c>
      <c r="I4" s="1262">
        <v>0</v>
      </c>
      <c r="J4" s="1263">
        <v>2.4999999999999998E-2</v>
      </c>
      <c r="K4" s="1263">
        <v>0</v>
      </c>
      <c r="L4" s="1264"/>
      <c r="M4" s="1041"/>
      <c r="N4" s="1040">
        <v>2.5</v>
      </c>
      <c r="O4" s="1041"/>
      <c r="P4" s="1041"/>
      <c r="Q4" s="1040"/>
      <c r="R4" s="1041"/>
      <c r="S4" s="1041"/>
      <c r="T4" s="1265"/>
      <c r="U4" s="1224">
        <v>8.8000000000000005E-3</v>
      </c>
      <c r="V4" s="1225">
        <v>0.35199999999999998</v>
      </c>
      <c r="W4" s="1955"/>
      <c r="X4" s="1226">
        <v>0.30880000000000002</v>
      </c>
      <c r="Y4" s="2130"/>
      <c r="Z4" s="1955" t="s">
        <v>2192</v>
      </c>
      <c r="AA4" s="1955" t="s">
        <v>2193</v>
      </c>
      <c r="AB4" s="1226">
        <v>0.30880000000000002</v>
      </c>
      <c r="AC4" s="2130"/>
      <c r="AD4" s="1955" t="s">
        <v>2192</v>
      </c>
      <c r="AE4" s="1608"/>
      <c r="AF4" s="1955" t="s">
        <v>2193</v>
      </c>
      <c r="AG4" s="1226">
        <v>0.17649999999999999</v>
      </c>
      <c r="AH4" s="2253">
        <f>AG4+AG5</f>
        <v>0.56469999999999998</v>
      </c>
      <c r="AI4" s="1955" t="s">
        <v>2192</v>
      </c>
      <c r="AJ4" s="1648"/>
      <c r="AK4" s="1955" t="s">
        <v>2193</v>
      </c>
      <c r="AL4" s="1226">
        <v>0.37647058823529411</v>
      </c>
      <c r="AM4" s="2253">
        <v>0.97650000000000003</v>
      </c>
      <c r="AN4" s="1955" t="s">
        <v>2902</v>
      </c>
      <c r="AO4" s="1729"/>
      <c r="AP4" s="1955" t="s">
        <v>2904</v>
      </c>
    </row>
    <row r="5" spans="1:42" s="908" customFormat="1" ht="79.5" customHeight="1" x14ac:dyDescent="0.25">
      <c r="A5" s="1951"/>
      <c r="B5" s="1952"/>
      <c r="C5" s="1986"/>
      <c r="D5" s="1959"/>
      <c r="E5" s="1986"/>
      <c r="F5" s="1986"/>
      <c r="G5" s="1952"/>
      <c r="H5" s="957" t="s">
        <v>1656</v>
      </c>
      <c r="I5" s="1266">
        <v>0</v>
      </c>
      <c r="J5" s="1267">
        <v>6.6666666666666666E-2</v>
      </c>
      <c r="K5" s="1267">
        <v>0</v>
      </c>
      <c r="L5" s="1268"/>
      <c r="M5" s="1045"/>
      <c r="N5" s="1121">
        <v>3.33</v>
      </c>
      <c r="O5" s="1045"/>
      <c r="P5" s="1045"/>
      <c r="Q5" s="1121"/>
      <c r="R5" s="1045"/>
      <c r="S5" s="1045"/>
      <c r="T5" s="1269"/>
      <c r="U5" s="1224">
        <v>0.1147</v>
      </c>
      <c r="V5" s="1227">
        <v>1</v>
      </c>
      <c r="W5" s="1955"/>
      <c r="X5" s="1226">
        <v>0.57350000000000001</v>
      </c>
      <c r="Y5" s="2130"/>
      <c r="Z5" s="1955"/>
      <c r="AA5" s="1955"/>
      <c r="AB5" s="1226">
        <v>0.57350000000000001</v>
      </c>
      <c r="AC5" s="2130"/>
      <c r="AD5" s="1955"/>
      <c r="AE5" s="1608"/>
      <c r="AF5" s="1955"/>
      <c r="AG5" s="1226">
        <v>0.38819999999999999</v>
      </c>
      <c r="AH5" s="2130"/>
      <c r="AI5" s="1955"/>
      <c r="AJ5" s="1648"/>
      <c r="AK5" s="1955"/>
      <c r="AL5" s="1226">
        <v>0.6</v>
      </c>
      <c r="AM5" s="2130"/>
      <c r="AN5" s="1955"/>
      <c r="AO5" s="1729"/>
      <c r="AP5" s="1955"/>
    </row>
    <row r="6" spans="1:42" x14ac:dyDescent="0.25">
      <c r="A6" s="902" t="s">
        <v>2280</v>
      </c>
      <c r="B6" s="903"/>
      <c r="C6" s="891"/>
      <c r="D6" s="892"/>
      <c r="E6" s="891"/>
      <c r="F6" s="891"/>
      <c r="G6" s="891"/>
      <c r="H6" s="1145"/>
      <c r="I6" s="1151"/>
      <c r="J6" s="1143"/>
      <c r="K6" s="1143"/>
      <c r="L6" s="1143"/>
      <c r="M6" s="1143"/>
      <c r="N6" s="1143"/>
      <c r="O6" s="1143"/>
      <c r="P6" s="1143"/>
      <c r="Q6" s="1143"/>
      <c r="R6" s="1143"/>
      <c r="S6" s="1143"/>
      <c r="T6" s="1238"/>
      <c r="U6" s="902"/>
      <c r="V6" s="902"/>
      <c r="W6" s="902"/>
      <c r="X6" s="902"/>
      <c r="Y6" s="902"/>
      <c r="Z6" s="902"/>
      <c r="AA6" s="902"/>
      <c r="AB6" s="902"/>
      <c r="AC6" s="902"/>
      <c r="AD6" s="902"/>
      <c r="AE6" s="902"/>
      <c r="AF6" s="902"/>
      <c r="AG6" s="902"/>
      <c r="AH6" s="902"/>
      <c r="AI6" s="902"/>
      <c r="AJ6" s="902"/>
      <c r="AK6" s="902"/>
      <c r="AL6" s="902"/>
      <c r="AM6" s="902"/>
      <c r="AN6" s="902"/>
      <c r="AO6" s="902"/>
      <c r="AP6" s="902"/>
    </row>
    <row r="7" spans="1:42" x14ac:dyDescent="0.25">
      <c r="A7" s="902"/>
      <c r="B7" s="903"/>
      <c r="C7" s="891"/>
      <c r="D7" s="892"/>
      <c r="E7" s="891"/>
      <c r="F7" s="891"/>
      <c r="G7" s="891"/>
      <c r="H7" s="1145"/>
      <c r="I7" s="1151"/>
      <c r="J7" s="1143"/>
      <c r="K7" s="1143"/>
      <c r="L7" s="1143"/>
      <c r="M7" s="1143"/>
      <c r="N7" s="1143"/>
      <c r="O7" s="1143"/>
      <c r="P7" s="1143"/>
      <c r="Q7" s="1143"/>
      <c r="R7" s="1143"/>
      <c r="S7" s="1143"/>
      <c r="T7" s="1144"/>
      <c r="U7" s="1228" t="s">
        <v>2018</v>
      </c>
      <c r="V7" s="1228" t="s">
        <v>1970</v>
      </c>
      <c r="W7" s="1228"/>
      <c r="X7" s="1147" t="s">
        <v>2401</v>
      </c>
      <c r="Y7" s="1147" t="s">
        <v>2396</v>
      </c>
      <c r="Z7" s="1144"/>
      <c r="AA7" s="1144"/>
      <c r="AB7" s="1147" t="s">
        <v>2401</v>
      </c>
      <c r="AC7" s="1147" t="s">
        <v>2396</v>
      </c>
      <c r="AD7" s="1144"/>
      <c r="AE7" s="1144"/>
      <c r="AF7" s="1144"/>
      <c r="AG7" s="1147" t="s">
        <v>2401</v>
      </c>
      <c r="AH7" s="1147" t="s">
        <v>2396</v>
      </c>
      <c r="AI7" s="1144"/>
      <c r="AJ7" s="1144"/>
      <c r="AK7" s="1144"/>
      <c r="AL7" s="1147" t="s">
        <v>2401</v>
      </c>
      <c r="AM7" s="1147" t="s">
        <v>2528</v>
      </c>
      <c r="AN7" s="1144"/>
      <c r="AO7" s="1144"/>
      <c r="AP7" s="1144"/>
    </row>
    <row r="8" spans="1:42" x14ac:dyDescent="0.25">
      <c r="A8" s="902"/>
      <c r="B8" s="903"/>
      <c r="C8" s="891"/>
      <c r="D8" s="892"/>
      <c r="E8" s="891"/>
      <c r="F8" s="891"/>
      <c r="G8" s="891"/>
      <c r="H8" s="1145"/>
      <c r="I8" s="1151"/>
      <c r="J8" s="1143"/>
      <c r="K8" s="1143"/>
      <c r="L8" s="1143"/>
      <c r="M8" s="1143"/>
      <c r="N8" s="1143"/>
      <c r="O8" s="1143"/>
      <c r="P8" s="1143"/>
      <c r="Q8" s="1143"/>
      <c r="R8" s="1143"/>
      <c r="S8" s="1143"/>
      <c r="T8" s="1144"/>
      <c r="U8" s="1228" t="s">
        <v>2019</v>
      </c>
      <c r="V8" s="1229" t="s">
        <v>2016</v>
      </c>
      <c r="W8" s="1230">
        <v>0.16900000000000001</v>
      </c>
      <c r="X8" s="1147" t="s">
        <v>2423</v>
      </c>
      <c r="Y8" s="1150" t="s">
        <v>2404</v>
      </c>
      <c r="Z8" s="1509">
        <f>(88.23%*25%)</f>
        <v>0.22057500000000002</v>
      </c>
      <c r="AA8" s="1231"/>
      <c r="AB8" s="1147" t="s">
        <v>2423</v>
      </c>
      <c r="AC8" s="1150" t="s">
        <v>2404</v>
      </c>
      <c r="AD8" s="1509">
        <f>(88.23%*25%)</f>
        <v>0.22057500000000002</v>
      </c>
      <c r="AE8" s="1509"/>
      <c r="AF8" s="1231"/>
      <c r="AG8" s="1147" t="s">
        <v>2682</v>
      </c>
      <c r="AH8" s="1150" t="s">
        <v>2404</v>
      </c>
      <c r="AI8" s="1509">
        <f>56.47%*25%</f>
        <v>0.14117499999999999</v>
      </c>
      <c r="AJ8" s="1509"/>
      <c r="AK8" s="1231"/>
      <c r="AL8" s="1147" t="s">
        <v>2903</v>
      </c>
      <c r="AM8" s="1150" t="s">
        <v>2404</v>
      </c>
      <c r="AN8" s="1509">
        <f>97.65%*25%</f>
        <v>0.24412500000000001</v>
      </c>
      <c r="AO8" s="1774"/>
      <c r="AP8" s="1231"/>
    </row>
    <row r="9" spans="1:42" x14ac:dyDescent="0.25">
      <c r="A9" s="1239"/>
      <c r="B9" s="1240"/>
      <c r="C9" s="1175"/>
      <c r="D9" s="899"/>
      <c r="E9" s="1175"/>
      <c r="F9" s="1175"/>
      <c r="G9" s="1175"/>
      <c r="H9" s="1232"/>
      <c r="U9" s="910"/>
      <c r="X9" s="886" t="s">
        <v>2191</v>
      </c>
      <c r="Y9" s="1233">
        <f>22.1+16.9</f>
        <v>39</v>
      </c>
      <c r="AB9" s="886" t="s">
        <v>2191</v>
      </c>
      <c r="AC9" s="1233">
        <f>22.1+16.9</f>
        <v>39</v>
      </c>
      <c r="AG9" s="886" t="s">
        <v>2191</v>
      </c>
      <c r="AH9" s="1233"/>
      <c r="AL9" s="886" t="s">
        <v>2191</v>
      </c>
      <c r="AM9" s="1233"/>
    </row>
    <row r="10" spans="1:42" x14ac:dyDescent="0.25">
      <c r="A10" s="1239"/>
      <c r="B10" s="1240"/>
      <c r="C10" s="1175"/>
      <c r="D10" s="899"/>
      <c r="E10" s="1175"/>
      <c r="F10" s="1175"/>
      <c r="G10" s="1175"/>
      <c r="H10" s="1232"/>
      <c r="Z10" s="39" t="s">
        <v>2370</v>
      </c>
      <c r="AD10" s="39" t="s">
        <v>2370</v>
      </c>
      <c r="AE10" s="39"/>
      <c r="AI10" s="39"/>
      <c r="AJ10" s="39"/>
    </row>
    <row r="11" spans="1:42" x14ac:dyDescent="0.25">
      <c r="A11" s="1239"/>
      <c r="B11" s="1240"/>
      <c r="C11" s="1175"/>
      <c r="D11" s="899"/>
      <c r="E11" s="1175"/>
      <c r="F11" s="1175"/>
      <c r="G11" s="1175"/>
      <c r="H11" s="1232"/>
      <c r="Z11" s="39"/>
      <c r="AD11" s="39"/>
      <c r="AE11" s="39"/>
      <c r="AI11" s="39"/>
      <c r="AJ11" s="39"/>
    </row>
    <row r="12" spans="1:42" x14ac:dyDescent="0.25">
      <c r="A12" s="1239"/>
      <c r="B12" s="1240"/>
      <c r="C12" s="1175"/>
      <c r="D12" s="899"/>
      <c r="E12" s="1175"/>
      <c r="F12" s="1175"/>
      <c r="G12" s="1175"/>
      <c r="H12" s="1232"/>
      <c r="Z12" s="39"/>
      <c r="AD12" s="39"/>
      <c r="AE12" s="39"/>
      <c r="AI12" s="39"/>
      <c r="AJ12" s="39"/>
    </row>
    <row r="13" spans="1:42" x14ac:dyDescent="0.25">
      <c r="A13" s="1239"/>
      <c r="B13" s="1240"/>
      <c r="C13" s="1175"/>
      <c r="D13" s="899"/>
      <c r="E13" s="1175"/>
      <c r="F13" s="1175"/>
      <c r="G13" s="1175"/>
      <c r="H13" s="1232"/>
      <c r="Z13" s="39"/>
      <c r="AD13" s="39"/>
      <c r="AE13" s="39"/>
      <c r="AI13" s="39"/>
      <c r="AJ13" s="39"/>
    </row>
    <row r="14" spans="1:42" ht="15.75" thickBot="1" x14ac:dyDescent="0.3">
      <c r="V14" s="1234"/>
    </row>
    <row r="15" spans="1:42" ht="30.75" thickBot="1" x14ac:dyDescent="0.3">
      <c r="B15" s="1241" t="s">
        <v>47</v>
      </c>
      <c r="C15" s="1241" t="s">
        <v>1461</v>
      </c>
      <c r="D15" s="1241" t="s">
        <v>1</v>
      </c>
      <c r="E15" s="1241" t="s">
        <v>51</v>
      </c>
      <c r="F15" s="1241" t="s">
        <v>2</v>
      </c>
      <c r="G15" s="1242" t="s">
        <v>3</v>
      </c>
      <c r="H15" s="1236" t="s">
        <v>1291</v>
      </c>
      <c r="I15" s="1243"/>
      <c r="J15" s="1235" t="s">
        <v>1352</v>
      </c>
      <c r="K15" s="1236" t="s">
        <v>1353</v>
      </c>
      <c r="L15" s="1236" t="s">
        <v>1354</v>
      </c>
      <c r="M15" s="1236" t="s">
        <v>1355</v>
      </c>
      <c r="N15" s="1236" t="s">
        <v>1356</v>
      </c>
      <c r="O15" s="1236" t="s">
        <v>1357</v>
      </c>
      <c r="P15" s="1236" t="s">
        <v>1358</v>
      </c>
      <c r="Q15" s="1236" t="s">
        <v>1359</v>
      </c>
      <c r="R15" s="1236" t="s">
        <v>1360</v>
      </c>
      <c r="S15" s="1236" t="s">
        <v>1361</v>
      </c>
      <c r="T15" s="1236" t="s">
        <v>1362</v>
      </c>
      <c r="U15" s="1237" t="s">
        <v>1363</v>
      </c>
      <c r="V15" s="2240" t="s">
        <v>2020</v>
      </c>
      <c r="W15" s="2241"/>
    </row>
    <row r="16" spans="1:42" x14ac:dyDescent="0.25">
      <c r="B16" s="2242" t="s">
        <v>1583</v>
      </c>
      <c r="C16" s="2244" t="s">
        <v>1628</v>
      </c>
      <c r="D16" s="2246">
        <v>0.85</v>
      </c>
      <c r="E16" s="2244" t="s">
        <v>1654</v>
      </c>
      <c r="F16" s="2244" t="s">
        <v>1629</v>
      </c>
      <c r="G16" s="2248" t="s">
        <v>235</v>
      </c>
      <c r="H16" s="2250" t="s">
        <v>1655</v>
      </c>
      <c r="I16" s="1244" t="s">
        <v>2021</v>
      </c>
      <c r="J16" s="1245">
        <v>0</v>
      </c>
      <c r="K16" s="1246">
        <v>2.4999999999999998E-2</v>
      </c>
      <c r="L16" s="1246">
        <v>0</v>
      </c>
      <c r="M16" s="1246">
        <v>9.9999999999999992E-2</v>
      </c>
      <c r="N16" s="1246">
        <v>0</v>
      </c>
      <c r="O16" s="1246">
        <v>2.4999999999999998E-2</v>
      </c>
      <c r="P16" s="1246">
        <v>0</v>
      </c>
      <c r="Q16" s="1246">
        <v>0.35000000000000003</v>
      </c>
      <c r="R16" s="1246">
        <v>0</v>
      </c>
      <c r="S16" s="1246">
        <v>0</v>
      </c>
      <c r="T16" s="1246">
        <v>0</v>
      </c>
      <c r="U16" s="1247">
        <v>0.5</v>
      </c>
      <c r="V16" s="1248">
        <v>0.4</v>
      </c>
    </row>
    <row r="17" spans="2:23" x14ac:dyDescent="0.25">
      <c r="B17" s="2243"/>
      <c r="C17" s="2245"/>
      <c r="D17" s="2247"/>
      <c r="E17" s="2245"/>
      <c r="F17" s="2245"/>
      <c r="G17" s="2249"/>
      <c r="H17" s="2251"/>
      <c r="I17" s="1249" t="s">
        <v>2022</v>
      </c>
      <c r="J17" s="1250">
        <v>0</v>
      </c>
      <c r="K17" s="1251">
        <v>0</v>
      </c>
      <c r="L17" s="1251">
        <v>8.8000000000000005E-3</v>
      </c>
      <c r="M17" s="1251"/>
      <c r="N17" s="1251"/>
      <c r="O17" s="1251">
        <v>0.30880000000000002</v>
      </c>
      <c r="P17" s="1251"/>
      <c r="Q17" s="1251"/>
      <c r="R17" s="1251"/>
      <c r="S17" s="1251"/>
      <c r="T17" s="1251"/>
      <c r="U17" s="1252">
        <v>0.37647058823529411</v>
      </c>
      <c r="V17" s="1253">
        <v>0.37647058823529411</v>
      </c>
    </row>
    <row r="18" spans="2:23" x14ac:dyDescent="0.25">
      <c r="B18" s="2243"/>
      <c r="C18" s="2245"/>
      <c r="D18" s="2247"/>
      <c r="E18" s="2245"/>
      <c r="F18" s="2245"/>
      <c r="G18" s="2249"/>
      <c r="H18" s="2251" t="s">
        <v>1656</v>
      </c>
      <c r="I18" s="1244" t="s">
        <v>2021</v>
      </c>
      <c r="J18" s="1254">
        <v>0</v>
      </c>
      <c r="K18" s="1255">
        <v>6.6666666666666666E-2</v>
      </c>
      <c r="L18" s="1255">
        <v>0</v>
      </c>
      <c r="M18" s="1255">
        <v>0.31666666666666671</v>
      </c>
      <c r="N18" s="1255">
        <v>6.6666666666666666E-2</v>
      </c>
      <c r="O18" s="1255">
        <v>3.3333333333333333E-2</v>
      </c>
      <c r="P18" s="1255">
        <v>0.13333333333333333</v>
      </c>
      <c r="Q18" s="1255">
        <v>0</v>
      </c>
      <c r="R18" s="1255">
        <v>0.18333333333333335</v>
      </c>
      <c r="S18" s="1255">
        <v>0</v>
      </c>
      <c r="T18" s="1255">
        <v>0</v>
      </c>
      <c r="U18" s="1256">
        <v>0.2</v>
      </c>
      <c r="V18" s="1248">
        <v>0.6</v>
      </c>
    </row>
    <row r="19" spans="2:23" x14ac:dyDescent="0.25">
      <c r="B19" s="2243"/>
      <c r="C19" s="2245"/>
      <c r="D19" s="2247"/>
      <c r="E19" s="2245"/>
      <c r="F19" s="2245"/>
      <c r="G19" s="2249"/>
      <c r="H19" s="2252"/>
      <c r="I19" s="1257" t="s">
        <v>2022</v>
      </c>
      <c r="J19" s="1258">
        <v>0</v>
      </c>
      <c r="K19" s="1259">
        <v>0</v>
      </c>
      <c r="L19" s="1259">
        <v>0.1147</v>
      </c>
      <c r="M19" s="1259"/>
      <c r="N19" s="1259"/>
      <c r="O19" s="1259">
        <v>0.57350000000000001</v>
      </c>
      <c r="P19" s="1259"/>
      <c r="Q19" s="1259"/>
      <c r="R19" s="1259"/>
      <c r="S19" s="1259"/>
      <c r="T19" s="1259"/>
      <c r="U19" s="1260">
        <v>0.6</v>
      </c>
      <c r="V19" s="1261">
        <v>0.6</v>
      </c>
      <c r="W19" s="726"/>
    </row>
  </sheetData>
  <mergeCells count="36">
    <mergeCell ref="AL1:AP1"/>
    <mergeCell ref="AM4:AM5"/>
    <mergeCell ref="AN4:AN5"/>
    <mergeCell ref="AP4:AP5"/>
    <mergeCell ref="AB1:AF1"/>
    <mergeCell ref="AC4:AC5"/>
    <mergeCell ref="AD4:AD5"/>
    <mergeCell ref="AF4:AF5"/>
    <mergeCell ref="AG1:AK1"/>
    <mergeCell ref="AH4:AH5"/>
    <mergeCell ref="AI4:AI5"/>
    <mergeCell ref="AK4:AK5"/>
    <mergeCell ref="V15:W15"/>
    <mergeCell ref="B16:B19"/>
    <mergeCell ref="C16:C19"/>
    <mergeCell ref="D16:D19"/>
    <mergeCell ref="E16:E19"/>
    <mergeCell ref="F16:F19"/>
    <mergeCell ref="G16:G19"/>
    <mergeCell ref="H16:H17"/>
    <mergeCell ref="H18:H19"/>
    <mergeCell ref="I1:T1"/>
    <mergeCell ref="A1:H1"/>
    <mergeCell ref="D4:D5"/>
    <mergeCell ref="E4:E5"/>
    <mergeCell ref="F4:F5"/>
    <mergeCell ref="G4:G5"/>
    <mergeCell ref="A4:A5"/>
    <mergeCell ref="B4:B5"/>
    <mergeCell ref="C4:C5"/>
    <mergeCell ref="U1:W1"/>
    <mergeCell ref="X1:AA1"/>
    <mergeCell ref="Z4:Z5"/>
    <mergeCell ref="Y4:Y5"/>
    <mergeCell ref="AA4:AA5"/>
    <mergeCell ref="W4:W5"/>
  </mergeCells>
  <pageMargins left="0.70866141732283472" right="0.70866141732283472" top="0.74803149606299213" bottom="0.74803149606299213" header="0.31496062992125984" footer="0.31496062992125984"/>
  <pageSetup scale="2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N39"/>
  <sheetViews>
    <sheetView topLeftCell="C1" zoomScale="80" zoomScaleNormal="80" workbookViewId="0">
      <pane xSplit="6" ySplit="3" topLeftCell="AI21" activePane="bottomRight" state="frozen"/>
      <selection activeCell="AI4" sqref="AI4:AI5"/>
      <selection pane="topRight" activeCell="AI4" sqref="AI4:AI5"/>
      <selection pane="bottomLeft" activeCell="AI4" sqref="AI4:AI5"/>
      <selection pane="bottomRight" activeCell="AL28" sqref="AL28:AL30"/>
    </sheetView>
  </sheetViews>
  <sheetFormatPr baseColWidth="10" defaultRowHeight="15" x14ac:dyDescent="0.25"/>
  <cols>
    <col min="1" max="1" width="17.7109375" style="750" customWidth="1"/>
    <col min="2" max="2" width="22.7109375" style="750" customWidth="1"/>
    <col min="3" max="3" width="28.42578125" style="750" customWidth="1"/>
    <col min="4" max="4" width="26" style="750" customWidth="1"/>
    <col min="5" max="5" width="21.28515625" style="750" customWidth="1"/>
    <col min="6" max="6" width="30.28515625" style="750" customWidth="1"/>
    <col min="7" max="7" width="16.85546875" style="750" customWidth="1"/>
    <col min="8" max="8" width="59" style="750" customWidth="1"/>
    <col min="9" max="9" width="9.5703125" style="750" bestFit="1" customWidth="1"/>
    <col min="10" max="10" width="12.140625" style="750" bestFit="1" customWidth="1"/>
    <col min="11" max="11" width="9.42578125" style="750" bestFit="1" customWidth="1"/>
    <col min="12" max="12" width="8.28515625" style="750" bestFit="1" customWidth="1"/>
    <col min="13" max="13" width="8" style="750" bestFit="1" customWidth="1"/>
    <col min="14" max="14" width="8.28515625" style="750" bestFit="1" customWidth="1"/>
    <col min="15" max="15" width="8" style="750" bestFit="1" customWidth="1"/>
    <col min="16" max="16" width="11.28515625" style="750" bestFit="1" customWidth="1"/>
    <col min="17" max="17" width="16" style="750" bestFit="1" customWidth="1"/>
    <col min="18" max="18" width="12.28515625" style="750" bestFit="1" customWidth="1"/>
    <col min="19" max="19" width="15" style="750" bestFit="1" customWidth="1"/>
    <col min="20" max="20" width="13.85546875" style="750" customWidth="1"/>
    <col min="21" max="24" width="11.42578125" style="750" customWidth="1"/>
    <col min="25" max="25" width="53.42578125" style="750" customWidth="1"/>
    <col min="26" max="26" width="20.7109375" style="750" customWidth="1"/>
    <col min="27" max="27" width="21.28515625" style="750" customWidth="1"/>
    <col min="28" max="28" width="44.28515625" style="770" customWidth="1"/>
    <col min="29" max="29" width="35.85546875" style="770" customWidth="1"/>
    <col min="30" max="30" width="32.7109375" style="770" customWidth="1"/>
    <col min="31" max="31" width="20.7109375" style="750" customWidth="1"/>
    <col min="32" max="32" width="21.28515625" style="750" customWidth="1"/>
    <col min="33" max="33" width="44.28515625" style="770" customWidth="1"/>
    <col min="34" max="34" width="64.140625" style="770" customWidth="1"/>
    <col min="35" max="35" width="37" style="770" customWidth="1"/>
    <col min="36" max="36" width="26.42578125" style="750" customWidth="1"/>
    <col min="37" max="37" width="11.42578125" style="750"/>
    <col min="38" max="38" width="33.28515625" style="750" customWidth="1"/>
    <col min="39" max="39" width="62" style="750" customWidth="1"/>
    <col min="40" max="40" width="32.140625" style="750" customWidth="1"/>
    <col min="41" max="16384" width="11.42578125" style="750"/>
  </cols>
  <sheetData>
    <row r="1" spans="1:40" ht="54.75" customHeight="1" x14ac:dyDescent="0.25">
      <c r="A1" s="2094" t="s">
        <v>2559</v>
      </c>
      <c r="B1" s="2094"/>
      <c r="C1" s="2094"/>
      <c r="D1" s="2094"/>
      <c r="E1" s="2094"/>
      <c r="F1" s="2094"/>
      <c r="G1" s="2094"/>
      <c r="H1" s="2094"/>
      <c r="I1" s="1939" t="s">
        <v>1351</v>
      </c>
      <c r="J1" s="1939"/>
      <c r="K1" s="1939"/>
      <c r="L1" s="1939"/>
      <c r="M1" s="1939"/>
      <c r="N1" s="1939"/>
      <c r="O1" s="1939"/>
      <c r="P1" s="1939"/>
      <c r="Q1" s="1939"/>
      <c r="R1" s="1939"/>
      <c r="S1" s="1939"/>
      <c r="T1" s="2257"/>
      <c r="U1" s="2267" t="s">
        <v>1970</v>
      </c>
      <c r="V1" s="2172"/>
      <c r="W1" s="2172"/>
      <c r="X1" s="2172"/>
      <c r="Y1" s="2268"/>
      <c r="Z1" s="2173" t="s">
        <v>2138</v>
      </c>
      <c r="AA1" s="2172"/>
      <c r="AB1" s="2172"/>
      <c r="AC1" s="2172"/>
      <c r="AD1" s="2172"/>
      <c r="AE1" s="2173" t="s">
        <v>2631</v>
      </c>
      <c r="AF1" s="2172"/>
      <c r="AG1" s="2172"/>
      <c r="AH1" s="2172"/>
      <c r="AI1" s="2172"/>
      <c r="AJ1" s="2173" t="s">
        <v>2873</v>
      </c>
      <c r="AK1" s="2172"/>
      <c r="AL1" s="2172"/>
      <c r="AM1" s="2172"/>
      <c r="AN1" s="2172"/>
    </row>
    <row r="2" spans="1:40" ht="8.25" customHeight="1" x14ac:dyDescent="0.25">
      <c r="A2" s="806"/>
      <c r="B2" s="802"/>
      <c r="C2" s="807"/>
      <c r="D2" s="807"/>
      <c r="E2" s="807"/>
      <c r="F2" s="807"/>
      <c r="G2" s="808"/>
      <c r="H2" s="793"/>
      <c r="U2" s="1270"/>
      <c r="AL2" s="770"/>
      <c r="AM2" s="770"/>
      <c r="AN2" s="770"/>
    </row>
    <row r="3" spans="1:40" s="769" customFormat="1" ht="49.5" customHeight="1" x14ac:dyDescent="0.25">
      <c r="A3" s="777" t="s">
        <v>1221</v>
      </c>
      <c r="B3" s="777" t="s">
        <v>47</v>
      </c>
      <c r="C3" s="777" t="s">
        <v>1461</v>
      </c>
      <c r="D3" s="777" t="s">
        <v>1</v>
      </c>
      <c r="E3" s="777" t="s">
        <v>51</v>
      </c>
      <c r="F3" s="777" t="s">
        <v>2216</v>
      </c>
      <c r="G3" s="777" t="s">
        <v>3</v>
      </c>
      <c r="H3" s="809"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77"/>
      <c r="V3" s="780"/>
      <c r="W3" s="779" t="s">
        <v>1980</v>
      </c>
      <c r="X3" s="779" t="s">
        <v>1887</v>
      </c>
      <c r="Y3" s="779" t="s">
        <v>1981</v>
      </c>
      <c r="Z3" s="809" t="s">
        <v>1926</v>
      </c>
      <c r="AA3" s="777" t="s">
        <v>1927</v>
      </c>
      <c r="AB3" s="777" t="s">
        <v>2126</v>
      </c>
      <c r="AC3" s="777" t="s">
        <v>1925</v>
      </c>
      <c r="AD3" s="777" t="s">
        <v>1928</v>
      </c>
      <c r="AE3" s="1636" t="s">
        <v>1926</v>
      </c>
      <c r="AF3" s="1633" t="s">
        <v>1927</v>
      </c>
      <c r="AG3" s="1633" t="s">
        <v>2126</v>
      </c>
      <c r="AH3" s="1633" t="s">
        <v>1925</v>
      </c>
      <c r="AI3" s="1633" t="s">
        <v>1928</v>
      </c>
      <c r="AJ3" s="1636" t="s">
        <v>1926</v>
      </c>
      <c r="AK3" s="1633" t="s">
        <v>1927</v>
      </c>
      <c r="AL3" s="1633" t="s">
        <v>2126</v>
      </c>
      <c r="AM3" s="1633" t="s">
        <v>1925</v>
      </c>
      <c r="AN3" s="1633" t="s">
        <v>1928</v>
      </c>
    </row>
    <row r="4" spans="1:40" ht="152.25" customHeight="1" x14ac:dyDescent="0.25">
      <c r="A4" s="1951" t="s">
        <v>1482</v>
      </c>
      <c r="B4" s="1986" t="s">
        <v>1583</v>
      </c>
      <c r="C4" s="1986" t="s">
        <v>1752</v>
      </c>
      <c r="D4" s="1959">
        <v>0.6</v>
      </c>
      <c r="E4" s="1986" t="s">
        <v>1797</v>
      </c>
      <c r="F4" s="1986" t="s">
        <v>1753</v>
      </c>
      <c r="G4" s="1986" t="s">
        <v>1636</v>
      </c>
      <c r="H4" s="1166" t="s">
        <v>1982</v>
      </c>
      <c r="I4" s="1286"/>
      <c r="J4" s="1287"/>
      <c r="K4" s="1288"/>
      <c r="L4" s="1288" t="s">
        <v>1397</v>
      </c>
      <c r="M4" s="1288" t="s">
        <v>1397</v>
      </c>
      <c r="N4" s="1288" t="s">
        <v>1397</v>
      </c>
      <c r="O4" s="1288" t="s">
        <v>1397</v>
      </c>
      <c r="P4" s="1288" t="s">
        <v>1397</v>
      </c>
      <c r="Q4" s="1288" t="s">
        <v>1397</v>
      </c>
      <c r="R4" s="1288" t="s">
        <v>1397</v>
      </c>
      <c r="S4" s="1289" t="s">
        <v>1397</v>
      </c>
      <c r="T4" s="1290" t="s">
        <v>1397</v>
      </c>
      <c r="U4" s="1271">
        <v>43190</v>
      </c>
      <c r="V4" s="875" t="s">
        <v>163</v>
      </c>
      <c r="W4" s="799" t="s">
        <v>1906</v>
      </c>
      <c r="X4" s="1954" t="s">
        <v>1906</v>
      </c>
      <c r="Y4" s="1955" t="s">
        <v>1983</v>
      </c>
      <c r="Z4" s="1602">
        <v>0.69</v>
      </c>
      <c r="AA4" s="2269">
        <v>0.6</v>
      </c>
      <c r="AB4" s="2266" t="s">
        <v>2612</v>
      </c>
      <c r="AC4" s="2265" t="s">
        <v>2613</v>
      </c>
      <c r="AD4" s="1601"/>
      <c r="AE4" s="1602">
        <v>0.8</v>
      </c>
      <c r="AF4" s="2269">
        <v>0.7</v>
      </c>
      <c r="AG4" s="2266" t="s">
        <v>2755</v>
      </c>
      <c r="AH4" s="2265" t="s">
        <v>2650</v>
      </c>
      <c r="AI4" s="2271" t="s">
        <v>2653</v>
      </c>
      <c r="AJ4" s="1752">
        <v>0.8</v>
      </c>
      <c r="AK4" s="2281">
        <f>SUM(AJ4,AJ5)/2</f>
        <v>0.8</v>
      </c>
      <c r="AL4" s="2283" t="s">
        <v>2874</v>
      </c>
      <c r="AM4" s="2271" t="s">
        <v>2875</v>
      </c>
      <c r="AN4" s="2271" t="s">
        <v>2876</v>
      </c>
    </row>
    <row r="5" spans="1:40" ht="191.25" customHeight="1" x14ac:dyDescent="0.25">
      <c r="A5" s="1951"/>
      <c r="B5" s="1986"/>
      <c r="C5" s="1986"/>
      <c r="D5" s="1986"/>
      <c r="E5" s="1986"/>
      <c r="F5" s="1986"/>
      <c r="G5" s="1986"/>
      <c r="H5" s="1166" t="s">
        <v>1984</v>
      </c>
      <c r="I5" s="1291"/>
      <c r="J5" s="1292"/>
      <c r="K5" s="1293"/>
      <c r="L5" s="1293" t="s">
        <v>1397</v>
      </c>
      <c r="M5" s="1293" t="s">
        <v>1397</v>
      </c>
      <c r="N5" s="1293" t="s">
        <v>1397</v>
      </c>
      <c r="O5" s="1293" t="s">
        <v>1397</v>
      </c>
      <c r="P5" s="1293" t="s">
        <v>1397</v>
      </c>
      <c r="Q5" s="1293" t="s">
        <v>1397</v>
      </c>
      <c r="R5" s="1293" t="s">
        <v>1397</v>
      </c>
      <c r="S5" s="1294" t="s">
        <v>1397</v>
      </c>
      <c r="T5" s="1295" t="s">
        <v>1397</v>
      </c>
      <c r="U5" s="1271">
        <v>43281</v>
      </c>
      <c r="V5" s="875"/>
      <c r="W5" s="799" t="s">
        <v>1906</v>
      </c>
      <c r="X5" s="1954"/>
      <c r="Y5" s="1955"/>
      <c r="Z5" s="1602">
        <v>0.5</v>
      </c>
      <c r="AA5" s="2270"/>
      <c r="AB5" s="2266"/>
      <c r="AC5" s="2265"/>
      <c r="AD5" s="1601"/>
      <c r="AE5" s="1602">
        <v>0.6</v>
      </c>
      <c r="AF5" s="2270"/>
      <c r="AG5" s="2266"/>
      <c r="AH5" s="2265"/>
      <c r="AI5" s="2272"/>
      <c r="AJ5" s="1826">
        <v>0.8</v>
      </c>
      <c r="AK5" s="2282"/>
      <c r="AL5" s="2284"/>
      <c r="AM5" s="2273"/>
      <c r="AN5" s="2273"/>
    </row>
    <row r="6" spans="1:40" ht="45" customHeight="1" x14ac:dyDescent="0.25">
      <c r="A6" s="1951"/>
      <c r="B6" s="1952" t="s">
        <v>1583</v>
      </c>
      <c r="C6" s="1986" t="s">
        <v>1270</v>
      </c>
      <c r="D6" s="1986" t="s">
        <v>166</v>
      </c>
      <c r="E6" s="1986" t="s">
        <v>1700</v>
      </c>
      <c r="F6" s="1986" t="s">
        <v>1754</v>
      </c>
      <c r="G6" s="1952" t="s">
        <v>1636</v>
      </c>
      <c r="H6" s="1166" t="s">
        <v>1985</v>
      </c>
      <c r="I6" s="1296" t="s">
        <v>1397</v>
      </c>
      <c r="J6" s="1297" t="s">
        <v>1397</v>
      </c>
      <c r="K6" s="1297" t="s">
        <v>1397</v>
      </c>
      <c r="L6" s="1297" t="s">
        <v>1397</v>
      </c>
      <c r="M6" s="1297" t="s">
        <v>1397</v>
      </c>
      <c r="N6" s="1297" t="s">
        <v>1397</v>
      </c>
      <c r="O6" s="1297" t="s">
        <v>1397</v>
      </c>
      <c r="P6" s="1297" t="s">
        <v>1397</v>
      </c>
      <c r="Q6" s="1297"/>
      <c r="R6" s="1297"/>
      <c r="S6" s="1297"/>
      <c r="T6" s="1298"/>
      <c r="U6" s="1271">
        <v>43100</v>
      </c>
      <c r="V6" s="2124" t="s">
        <v>2350</v>
      </c>
      <c r="W6" s="1272">
        <v>0.66</v>
      </c>
      <c r="X6" s="1953">
        <v>0.66</v>
      </c>
      <c r="Y6" s="2256" t="s">
        <v>1986</v>
      </c>
      <c r="Z6" s="1603">
        <v>1</v>
      </c>
      <c r="AA6" s="2269">
        <v>0.77</v>
      </c>
      <c r="AB6" s="2266" t="s">
        <v>2614</v>
      </c>
      <c r="AC6" s="2266" t="s">
        <v>2615</v>
      </c>
      <c r="AD6" s="1601"/>
      <c r="AE6" s="1682">
        <v>1</v>
      </c>
      <c r="AF6" s="2277">
        <v>0.81</v>
      </c>
      <c r="AG6" s="2266" t="s">
        <v>2756</v>
      </c>
      <c r="AH6" s="2266" t="s">
        <v>2659</v>
      </c>
      <c r="AI6" s="2271"/>
      <c r="AJ6" s="1753">
        <v>1</v>
      </c>
      <c r="AK6" s="2285">
        <f>(AJ6+AJ7+AJ8+AJ9)/4</f>
        <v>1</v>
      </c>
      <c r="AL6" s="2287" t="s">
        <v>2877</v>
      </c>
      <c r="AM6" s="2287" t="s">
        <v>2878</v>
      </c>
      <c r="AN6" s="2288" t="s">
        <v>2879</v>
      </c>
    </row>
    <row r="7" spans="1:40" ht="36.75" customHeight="1" x14ac:dyDescent="0.25">
      <c r="A7" s="1951"/>
      <c r="B7" s="1952"/>
      <c r="C7" s="1986"/>
      <c r="D7" s="1986"/>
      <c r="E7" s="1986"/>
      <c r="F7" s="1986"/>
      <c r="G7" s="1952"/>
      <c r="H7" s="1166" t="s">
        <v>1987</v>
      </c>
      <c r="I7" s="1299" t="s">
        <v>1397</v>
      </c>
      <c r="J7" s="1300" t="s">
        <v>1397</v>
      </c>
      <c r="K7" s="1300" t="s">
        <v>1397</v>
      </c>
      <c r="L7" s="1300" t="s">
        <v>1397</v>
      </c>
      <c r="M7" s="1300" t="s">
        <v>1397</v>
      </c>
      <c r="N7" s="1300" t="s">
        <v>1397</v>
      </c>
      <c r="O7" s="1300" t="s">
        <v>1397</v>
      </c>
      <c r="P7" s="1300" t="s">
        <v>1397</v>
      </c>
      <c r="Q7" s="1300"/>
      <c r="R7" s="1300"/>
      <c r="S7" s="1300"/>
      <c r="T7" s="1301"/>
      <c r="U7" s="746" t="s">
        <v>174</v>
      </c>
      <c r="V7" s="2258"/>
      <c r="W7" s="1272">
        <v>0.66</v>
      </c>
      <c r="X7" s="1954"/>
      <c r="Y7" s="2256"/>
      <c r="Z7" s="1603">
        <v>0.66</v>
      </c>
      <c r="AA7" s="2270"/>
      <c r="AB7" s="2266"/>
      <c r="AC7" s="2266"/>
      <c r="AD7" s="1601"/>
      <c r="AE7" s="1682">
        <v>0.66</v>
      </c>
      <c r="AF7" s="2278"/>
      <c r="AG7" s="2266"/>
      <c r="AH7" s="2266"/>
      <c r="AI7" s="2273"/>
      <c r="AJ7" s="1753">
        <v>1</v>
      </c>
      <c r="AK7" s="2286"/>
      <c r="AL7" s="2287"/>
      <c r="AM7" s="2287"/>
      <c r="AN7" s="2288"/>
    </row>
    <row r="8" spans="1:40" ht="30" customHeight="1" x14ac:dyDescent="0.25">
      <c r="A8" s="1951"/>
      <c r="B8" s="1952"/>
      <c r="C8" s="1986"/>
      <c r="D8" s="1986"/>
      <c r="E8" s="1986"/>
      <c r="F8" s="1986"/>
      <c r="G8" s="1952"/>
      <c r="H8" s="1166" t="s">
        <v>1988</v>
      </c>
      <c r="I8" s="1299" t="s">
        <v>1397</v>
      </c>
      <c r="J8" s="1300" t="s">
        <v>1397</v>
      </c>
      <c r="K8" s="1300" t="s">
        <v>1397</v>
      </c>
      <c r="L8" s="1300" t="s">
        <v>1397</v>
      </c>
      <c r="M8" s="1300" t="s">
        <v>1397</v>
      </c>
      <c r="N8" s="1300" t="s">
        <v>1397</v>
      </c>
      <c r="O8" s="1300" t="s">
        <v>1397</v>
      </c>
      <c r="P8" s="1300" t="s">
        <v>1397</v>
      </c>
      <c r="Q8" s="1300"/>
      <c r="R8" s="1300"/>
      <c r="S8" s="1300"/>
      <c r="T8" s="1301"/>
      <c r="U8" s="746"/>
      <c r="V8" s="2258"/>
      <c r="W8" s="1272">
        <v>0.66</v>
      </c>
      <c r="X8" s="1954"/>
      <c r="Y8" s="2256"/>
      <c r="Z8" s="1603">
        <v>0.66</v>
      </c>
      <c r="AA8" s="2270"/>
      <c r="AB8" s="2266"/>
      <c r="AC8" s="2266"/>
      <c r="AD8" s="1601"/>
      <c r="AE8" s="1682">
        <v>0.66</v>
      </c>
      <c r="AF8" s="2278"/>
      <c r="AG8" s="2266"/>
      <c r="AH8" s="2266"/>
      <c r="AI8" s="2273"/>
      <c r="AJ8" s="1753">
        <v>1</v>
      </c>
      <c r="AK8" s="2286"/>
      <c r="AL8" s="2287"/>
      <c r="AM8" s="2287"/>
      <c r="AN8" s="2288"/>
    </row>
    <row r="9" spans="1:40" ht="27.75" customHeight="1" x14ac:dyDescent="0.25">
      <c r="A9" s="1951"/>
      <c r="B9" s="1952"/>
      <c r="C9" s="1986"/>
      <c r="D9" s="1986"/>
      <c r="E9" s="1986"/>
      <c r="F9" s="1986"/>
      <c r="G9" s="1952"/>
      <c r="H9" s="806" t="s">
        <v>1989</v>
      </c>
      <c r="I9" s="1302"/>
      <c r="J9" s="1303"/>
      <c r="K9" s="1304"/>
      <c r="L9" s="1304"/>
      <c r="M9" s="1304"/>
      <c r="N9" s="1304"/>
      <c r="O9" s="1304" t="s">
        <v>1397</v>
      </c>
      <c r="P9" s="1304" t="s">
        <v>1397</v>
      </c>
      <c r="Q9" s="1304" t="s">
        <v>1397</v>
      </c>
      <c r="R9" s="1304" t="s">
        <v>1397</v>
      </c>
      <c r="S9" s="1304" t="s">
        <v>1397</v>
      </c>
      <c r="T9" s="1305" t="s">
        <v>1397</v>
      </c>
      <c r="U9" s="746" t="s">
        <v>174</v>
      </c>
      <c r="V9" s="2259"/>
      <c r="W9" s="799" t="s">
        <v>1906</v>
      </c>
      <c r="X9" s="1954"/>
      <c r="Y9" s="2256"/>
      <c r="Z9" s="1604" t="s">
        <v>1906</v>
      </c>
      <c r="AA9" s="2270"/>
      <c r="AB9" s="2266"/>
      <c r="AC9" s="2266"/>
      <c r="AD9" s="1601"/>
      <c r="AE9" s="1682">
        <v>0.9</v>
      </c>
      <c r="AF9" s="2278"/>
      <c r="AG9" s="2266"/>
      <c r="AH9" s="2266"/>
      <c r="AI9" s="2272"/>
      <c r="AJ9" s="1753">
        <v>1</v>
      </c>
      <c r="AK9" s="2286"/>
      <c r="AL9" s="2287"/>
      <c r="AM9" s="2287"/>
      <c r="AN9" s="2288"/>
    </row>
    <row r="10" spans="1:40" ht="50.25" customHeight="1" x14ac:dyDescent="0.25">
      <c r="A10" s="1951"/>
      <c r="B10" s="1986" t="s">
        <v>1583</v>
      </c>
      <c r="C10" s="1986" t="s">
        <v>1271</v>
      </c>
      <c r="D10" s="1986" t="s">
        <v>1755</v>
      </c>
      <c r="E10" s="1986" t="s">
        <v>1798</v>
      </c>
      <c r="F10" s="1986" t="s">
        <v>1701</v>
      </c>
      <c r="G10" s="1986" t="s">
        <v>1636</v>
      </c>
      <c r="H10" s="1110" t="s">
        <v>1990</v>
      </c>
      <c r="I10" s="1306"/>
      <c r="J10" s="1307"/>
      <c r="K10" s="1308"/>
      <c r="L10" s="1308"/>
      <c r="M10" s="1308"/>
      <c r="N10" s="1308"/>
      <c r="O10" s="1308" t="s">
        <v>1397</v>
      </c>
      <c r="P10" s="1308" t="s">
        <v>1397</v>
      </c>
      <c r="Q10" s="1308" t="s">
        <v>1397</v>
      </c>
      <c r="R10" s="1308" t="s">
        <v>1397</v>
      </c>
      <c r="S10" s="1308" t="s">
        <v>1397</v>
      </c>
      <c r="T10" s="1309" t="s">
        <v>1397</v>
      </c>
      <c r="U10" s="746" t="s">
        <v>182</v>
      </c>
      <c r="V10" s="2255" t="s">
        <v>179</v>
      </c>
      <c r="W10" s="799" t="s">
        <v>1906</v>
      </c>
      <c r="X10" s="2100">
        <v>0.66</v>
      </c>
      <c r="Y10" s="2256" t="s">
        <v>1991</v>
      </c>
      <c r="Z10" s="1604" t="s">
        <v>1906</v>
      </c>
      <c r="AA10" s="2264">
        <v>0.66</v>
      </c>
      <c r="AB10" s="2266" t="s">
        <v>2616</v>
      </c>
      <c r="AC10" s="2266" t="s">
        <v>2617</v>
      </c>
      <c r="AD10" s="1601"/>
      <c r="AE10" s="1683" t="s">
        <v>1906</v>
      </c>
      <c r="AF10" s="2264">
        <v>0.83</v>
      </c>
      <c r="AG10" s="2266" t="s">
        <v>2757</v>
      </c>
      <c r="AH10" s="2266" t="s">
        <v>2658</v>
      </c>
      <c r="AI10" s="2271"/>
      <c r="AJ10" s="1754">
        <v>0.7</v>
      </c>
      <c r="AK10" s="2295">
        <f>(AJ10+AJ11+AJ12+AJ13)/4</f>
        <v>0.57500000000000007</v>
      </c>
      <c r="AL10" s="2294" t="s">
        <v>2880</v>
      </c>
      <c r="AM10" s="2294" t="s">
        <v>2881</v>
      </c>
      <c r="AN10" s="2289"/>
    </row>
    <row r="11" spans="1:40" ht="54.75" customHeight="1" x14ac:dyDescent="0.25">
      <c r="A11" s="1951"/>
      <c r="B11" s="1986"/>
      <c r="C11" s="1986"/>
      <c r="D11" s="1986"/>
      <c r="E11" s="1986"/>
      <c r="F11" s="1986"/>
      <c r="G11" s="1986"/>
      <c r="H11" s="1110" t="s">
        <v>1992</v>
      </c>
      <c r="I11" s="1310"/>
      <c r="J11" s="1311"/>
      <c r="K11" s="1312"/>
      <c r="L11" s="1312"/>
      <c r="M11" s="1312"/>
      <c r="N11" s="1312"/>
      <c r="O11" s="1308" t="s">
        <v>1397</v>
      </c>
      <c r="P11" s="1308" t="s">
        <v>1397</v>
      </c>
      <c r="Q11" s="1308" t="s">
        <v>1397</v>
      </c>
      <c r="R11" s="1308" t="s">
        <v>1397</v>
      </c>
      <c r="S11" s="1308" t="s">
        <v>1397</v>
      </c>
      <c r="T11" s="1313" t="s">
        <v>1397</v>
      </c>
      <c r="U11" s="746" t="s">
        <v>183</v>
      </c>
      <c r="V11" s="2135"/>
      <c r="W11" s="799" t="s">
        <v>1906</v>
      </c>
      <c r="X11" s="1955"/>
      <c r="Y11" s="2256"/>
      <c r="Z11" s="1604" t="s">
        <v>1906</v>
      </c>
      <c r="AA11" s="2265"/>
      <c r="AB11" s="2266"/>
      <c r="AC11" s="2266"/>
      <c r="AD11" s="1601"/>
      <c r="AE11" s="1683" t="s">
        <v>1906</v>
      </c>
      <c r="AF11" s="2265"/>
      <c r="AG11" s="2266"/>
      <c r="AH11" s="2266"/>
      <c r="AI11" s="2273"/>
      <c r="AJ11" s="1753">
        <v>1</v>
      </c>
      <c r="AK11" s="2286"/>
      <c r="AL11" s="2287"/>
      <c r="AM11" s="2287"/>
      <c r="AN11" s="2289"/>
    </row>
    <row r="12" spans="1:40" ht="49.5" customHeight="1" x14ac:dyDescent="0.25">
      <c r="A12" s="1951"/>
      <c r="B12" s="1986"/>
      <c r="C12" s="1986"/>
      <c r="D12" s="1986"/>
      <c r="E12" s="1986"/>
      <c r="F12" s="1986"/>
      <c r="G12" s="1986"/>
      <c r="H12" s="1110" t="s">
        <v>1993</v>
      </c>
      <c r="I12" s="1310"/>
      <c r="J12" s="1308"/>
      <c r="K12" s="1308" t="s">
        <v>1397</v>
      </c>
      <c r="L12" s="1308" t="s">
        <v>1397</v>
      </c>
      <c r="M12" s="1308" t="s">
        <v>1397</v>
      </c>
      <c r="N12" s="1308" t="s">
        <v>1397</v>
      </c>
      <c r="O12" s="1308" t="s">
        <v>1397</v>
      </c>
      <c r="P12" s="1308"/>
      <c r="Q12" s="1308"/>
      <c r="R12" s="1308"/>
      <c r="S12" s="1308"/>
      <c r="T12" s="1313"/>
      <c r="U12" s="746"/>
      <c r="V12" s="2135"/>
      <c r="W12" s="1272">
        <v>0.66</v>
      </c>
      <c r="X12" s="1955"/>
      <c r="Y12" s="2256"/>
      <c r="Z12" s="1603">
        <v>0.66</v>
      </c>
      <c r="AA12" s="2265"/>
      <c r="AB12" s="2266"/>
      <c r="AC12" s="2266"/>
      <c r="AD12" s="1601"/>
      <c r="AE12" s="1682">
        <v>0.66</v>
      </c>
      <c r="AF12" s="2265"/>
      <c r="AG12" s="2266"/>
      <c r="AH12" s="2266"/>
      <c r="AI12" s="2273"/>
      <c r="AJ12" s="1753">
        <v>0.5</v>
      </c>
      <c r="AK12" s="2286"/>
      <c r="AL12" s="2287"/>
      <c r="AM12" s="2287"/>
      <c r="AN12" s="2289"/>
    </row>
    <row r="13" spans="1:40" ht="30" customHeight="1" x14ac:dyDescent="0.25">
      <c r="A13" s="1951"/>
      <c r="B13" s="1986"/>
      <c r="C13" s="1986"/>
      <c r="D13" s="1986"/>
      <c r="E13" s="1986"/>
      <c r="F13" s="1986"/>
      <c r="G13" s="1986"/>
      <c r="H13" s="1110" t="s">
        <v>1994</v>
      </c>
      <c r="I13" s="1310"/>
      <c r="J13" s="1308"/>
      <c r="K13" s="1308" t="s">
        <v>1397</v>
      </c>
      <c r="L13" s="1308" t="s">
        <v>1397</v>
      </c>
      <c r="M13" s="1308" t="s">
        <v>1397</v>
      </c>
      <c r="N13" s="1308" t="s">
        <v>1397</v>
      </c>
      <c r="O13" s="1308" t="s">
        <v>1397</v>
      </c>
      <c r="P13" s="1308" t="s">
        <v>1397</v>
      </c>
      <c r="Q13" s="1308"/>
      <c r="R13" s="1308"/>
      <c r="S13" s="1308"/>
      <c r="T13" s="1314"/>
      <c r="U13" s="746" t="s">
        <v>182</v>
      </c>
      <c r="V13" s="2136"/>
      <c r="W13" s="1272">
        <v>0.66</v>
      </c>
      <c r="X13" s="1955"/>
      <c r="Y13" s="2256"/>
      <c r="Z13" s="1603">
        <v>0.66</v>
      </c>
      <c r="AA13" s="2265"/>
      <c r="AB13" s="2266"/>
      <c r="AC13" s="2266"/>
      <c r="AD13" s="1601"/>
      <c r="AE13" s="1682">
        <v>1</v>
      </c>
      <c r="AF13" s="2265"/>
      <c r="AG13" s="2266"/>
      <c r="AH13" s="2266"/>
      <c r="AI13" s="2272"/>
      <c r="AJ13" s="1755">
        <v>0.1</v>
      </c>
      <c r="AK13" s="2296"/>
      <c r="AL13" s="2293"/>
      <c r="AM13" s="2293"/>
      <c r="AN13" s="2290"/>
    </row>
    <row r="14" spans="1:40" ht="45" customHeight="1" x14ac:dyDescent="0.25">
      <c r="A14" s="1951"/>
      <c r="B14" s="1952" t="s">
        <v>1583</v>
      </c>
      <c r="C14" s="1952" t="s">
        <v>1272</v>
      </c>
      <c r="D14" s="1952" t="s">
        <v>1756</v>
      </c>
      <c r="E14" s="1952" t="s">
        <v>1702</v>
      </c>
      <c r="F14" s="1952" t="s">
        <v>1799</v>
      </c>
      <c r="G14" s="1986" t="s">
        <v>1636</v>
      </c>
      <c r="H14" s="1166" t="s">
        <v>1995</v>
      </c>
      <c r="I14" s="1315"/>
      <c r="J14" s="1316"/>
      <c r="K14" s="1316"/>
      <c r="L14" s="1316"/>
      <c r="M14" s="1316"/>
      <c r="N14" s="1316"/>
      <c r="O14" s="1317" t="s">
        <v>1996</v>
      </c>
      <c r="P14" s="1317" t="s">
        <v>1996</v>
      </c>
      <c r="Q14" s="1317" t="s">
        <v>1996</v>
      </c>
      <c r="R14" s="1317" t="s">
        <v>1996</v>
      </c>
      <c r="S14" s="1317" t="s">
        <v>1996</v>
      </c>
      <c r="T14" s="1309" t="s">
        <v>1996</v>
      </c>
      <c r="U14" s="1271">
        <v>43100</v>
      </c>
      <c r="V14" s="2255" t="s">
        <v>179</v>
      </c>
      <c r="W14" s="799" t="s">
        <v>1906</v>
      </c>
      <c r="X14" s="2100">
        <v>0.66</v>
      </c>
      <c r="Y14" s="2256" t="s">
        <v>1997</v>
      </c>
      <c r="Z14" s="1604" t="s">
        <v>1906</v>
      </c>
      <c r="AA14" s="2264">
        <v>0.66</v>
      </c>
      <c r="AB14" s="2266" t="s">
        <v>2618</v>
      </c>
      <c r="AC14" s="2266" t="s">
        <v>2619</v>
      </c>
      <c r="AD14" s="1601"/>
      <c r="AE14" s="1683" t="s">
        <v>1906</v>
      </c>
      <c r="AF14" s="2264">
        <v>0.75</v>
      </c>
      <c r="AG14" s="2266" t="s">
        <v>2755</v>
      </c>
      <c r="AH14" s="2266" t="s">
        <v>2656</v>
      </c>
      <c r="AI14" s="1645"/>
      <c r="AJ14" s="1753">
        <v>0.7</v>
      </c>
      <c r="AK14" s="2285">
        <f>(AJ14+AJ15+AJ16+AJ17)/4</f>
        <v>0.57500000000000007</v>
      </c>
      <c r="AL14" s="2287" t="s">
        <v>2880</v>
      </c>
      <c r="AM14" s="2287" t="s">
        <v>2881</v>
      </c>
      <c r="AN14" s="2289"/>
    </row>
    <row r="15" spans="1:40" ht="42" customHeight="1" x14ac:dyDescent="0.25">
      <c r="A15" s="1951"/>
      <c r="B15" s="1952"/>
      <c r="C15" s="1952"/>
      <c r="D15" s="1952"/>
      <c r="E15" s="1952"/>
      <c r="F15" s="1952"/>
      <c r="G15" s="1986"/>
      <c r="H15" s="1166" t="s">
        <v>1998</v>
      </c>
      <c r="I15" s="1310"/>
      <c r="J15" s="1311"/>
      <c r="K15" s="1312"/>
      <c r="L15" s="1312"/>
      <c r="M15" s="1312"/>
      <c r="N15" s="1312"/>
      <c r="O15" s="1312" t="s">
        <v>1397</v>
      </c>
      <c r="P15" s="1312" t="s">
        <v>1397</v>
      </c>
      <c r="Q15" s="1312" t="s">
        <v>1397</v>
      </c>
      <c r="R15" s="1312" t="s">
        <v>1397</v>
      </c>
      <c r="S15" s="1312" t="s">
        <v>1397</v>
      </c>
      <c r="T15" s="1318" t="s">
        <v>1397</v>
      </c>
      <c r="U15" s="746" t="s">
        <v>183</v>
      </c>
      <c r="V15" s="2135"/>
      <c r="W15" s="799" t="s">
        <v>1906</v>
      </c>
      <c r="X15" s="1955"/>
      <c r="Y15" s="2256"/>
      <c r="Z15" s="1604" t="s">
        <v>1906</v>
      </c>
      <c r="AA15" s="2265"/>
      <c r="AB15" s="2266"/>
      <c r="AC15" s="2266"/>
      <c r="AD15" s="1601"/>
      <c r="AE15" s="1682">
        <v>0.5</v>
      </c>
      <c r="AF15" s="2265"/>
      <c r="AG15" s="2266"/>
      <c r="AH15" s="2266"/>
      <c r="AI15" s="1645"/>
      <c r="AJ15" s="1753">
        <v>1</v>
      </c>
      <c r="AK15" s="2286"/>
      <c r="AL15" s="2287"/>
      <c r="AM15" s="2287"/>
      <c r="AN15" s="2289"/>
    </row>
    <row r="16" spans="1:40" ht="30" customHeight="1" x14ac:dyDescent="0.25">
      <c r="A16" s="1951"/>
      <c r="B16" s="1952"/>
      <c r="C16" s="1952"/>
      <c r="D16" s="1952"/>
      <c r="E16" s="1952"/>
      <c r="F16" s="1952"/>
      <c r="G16" s="1986"/>
      <c r="H16" s="1166" t="s">
        <v>1999</v>
      </c>
      <c r="I16" s="1319"/>
      <c r="J16" s="1320" t="s">
        <v>1397</v>
      </c>
      <c r="K16" s="1320" t="s">
        <v>1397</v>
      </c>
      <c r="L16" s="1320" t="s">
        <v>1397</v>
      </c>
      <c r="M16" s="1320" t="s">
        <v>1397</v>
      </c>
      <c r="N16" s="1320" t="s">
        <v>1397</v>
      </c>
      <c r="O16" s="1320" t="s">
        <v>1397</v>
      </c>
      <c r="P16" s="1320"/>
      <c r="Q16" s="1320"/>
      <c r="R16" s="1320"/>
      <c r="S16" s="1320"/>
      <c r="T16" s="1321"/>
      <c r="U16" s="746"/>
      <c r="V16" s="2135"/>
      <c r="W16" s="1272">
        <v>0.66</v>
      </c>
      <c r="X16" s="1955"/>
      <c r="Y16" s="2256"/>
      <c r="Z16" s="1603">
        <v>0.66</v>
      </c>
      <c r="AA16" s="2265"/>
      <c r="AB16" s="2266"/>
      <c r="AC16" s="2266"/>
      <c r="AD16" s="1601"/>
      <c r="AE16" s="1682" t="s">
        <v>1906</v>
      </c>
      <c r="AF16" s="2265"/>
      <c r="AG16" s="2266"/>
      <c r="AH16" s="2266"/>
      <c r="AI16" s="1645"/>
      <c r="AJ16" s="1753">
        <v>0.5</v>
      </c>
      <c r="AK16" s="2286"/>
      <c r="AL16" s="2287"/>
      <c r="AM16" s="2287"/>
      <c r="AN16" s="2289"/>
    </row>
    <row r="17" spans="1:40" ht="30" customHeight="1" x14ac:dyDescent="0.25">
      <c r="A17" s="1951"/>
      <c r="B17" s="1952"/>
      <c r="C17" s="1952"/>
      <c r="D17" s="1952"/>
      <c r="E17" s="1952"/>
      <c r="F17" s="1952"/>
      <c r="G17" s="1986"/>
      <c r="H17" s="1166" t="s">
        <v>1994</v>
      </c>
      <c r="I17" s="1322"/>
      <c r="J17" s="1323"/>
      <c r="K17" s="1324" t="s">
        <v>1397</v>
      </c>
      <c r="L17" s="1324" t="s">
        <v>1397</v>
      </c>
      <c r="M17" s="1324" t="s">
        <v>1397</v>
      </c>
      <c r="N17" s="1324" t="s">
        <v>1397</v>
      </c>
      <c r="O17" s="1324" t="s">
        <v>1397</v>
      </c>
      <c r="P17" s="1324" t="s">
        <v>1397</v>
      </c>
      <c r="Q17" s="1324"/>
      <c r="R17" s="1324"/>
      <c r="S17" s="1324"/>
      <c r="T17" s="1325"/>
      <c r="U17" s="746" t="s">
        <v>182</v>
      </c>
      <c r="V17" s="2136"/>
      <c r="W17" s="1272">
        <v>0.66</v>
      </c>
      <c r="X17" s="1955"/>
      <c r="Y17" s="2256"/>
      <c r="Z17" s="1603">
        <v>0.66</v>
      </c>
      <c r="AA17" s="2265"/>
      <c r="AB17" s="2266"/>
      <c r="AC17" s="2266"/>
      <c r="AD17" s="1601"/>
      <c r="AE17" s="1682">
        <v>1</v>
      </c>
      <c r="AF17" s="2265"/>
      <c r="AG17" s="2266"/>
      <c r="AH17" s="2266"/>
      <c r="AI17" s="1645"/>
      <c r="AJ17" s="1753">
        <v>0.1</v>
      </c>
      <c r="AK17" s="2286"/>
      <c r="AL17" s="2287"/>
      <c r="AM17" s="2287"/>
      <c r="AN17" s="2290"/>
    </row>
    <row r="18" spans="1:40" ht="51.75" customHeight="1" x14ac:dyDescent="0.25">
      <c r="A18" s="1951"/>
      <c r="B18" s="1952" t="s">
        <v>1583</v>
      </c>
      <c r="C18" s="1952" t="s">
        <v>1273</v>
      </c>
      <c r="D18" s="2254" t="s">
        <v>1757</v>
      </c>
      <c r="E18" s="1952" t="s">
        <v>1758</v>
      </c>
      <c r="F18" s="1952" t="s">
        <v>2351</v>
      </c>
      <c r="G18" s="1952" t="s">
        <v>1636</v>
      </c>
      <c r="H18" s="1681" t="s">
        <v>2000</v>
      </c>
      <c r="I18" s="1306"/>
      <c r="J18" s="1307"/>
      <c r="K18" s="1308"/>
      <c r="L18" s="1308" t="s">
        <v>1397</v>
      </c>
      <c r="M18" s="1308" t="s">
        <v>1397</v>
      </c>
      <c r="N18" s="1308" t="s">
        <v>1397</v>
      </c>
      <c r="O18" s="1308" t="s">
        <v>1397</v>
      </c>
      <c r="P18" s="1308" t="s">
        <v>1397</v>
      </c>
      <c r="Q18" s="1308" t="s">
        <v>1397</v>
      </c>
      <c r="R18" s="1308" t="s">
        <v>1397</v>
      </c>
      <c r="S18" s="1308" t="s">
        <v>1397</v>
      </c>
      <c r="T18" s="1313" t="s">
        <v>1397</v>
      </c>
      <c r="U18" s="1271">
        <v>43100</v>
      </c>
      <c r="V18" s="2255" t="s">
        <v>226</v>
      </c>
      <c r="W18" s="799" t="s">
        <v>1906</v>
      </c>
      <c r="X18" s="2100">
        <v>0.5</v>
      </c>
      <c r="Y18" s="1273" t="s">
        <v>2001</v>
      </c>
      <c r="Z18" s="1603">
        <v>0.2</v>
      </c>
      <c r="AA18" s="2264">
        <v>0.67</v>
      </c>
      <c r="AB18" s="1601" t="s">
        <v>2163</v>
      </c>
      <c r="AC18" s="1601" t="s">
        <v>2164</v>
      </c>
      <c r="AD18" s="1601"/>
      <c r="AE18" s="1682">
        <v>0.2</v>
      </c>
      <c r="AF18" s="2279">
        <v>0.67</v>
      </c>
      <c r="AG18" s="1645" t="s">
        <v>2163</v>
      </c>
      <c r="AH18" s="1645" t="s">
        <v>2164</v>
      </c>
      <c r="AI18" s="1645"/>
      <c r="AJ18" s="1753">
        <v>1</v>
      </c>
      <c r="AK18" s="2291">
        <f>SUM(AJ18,AJ19)/2</f>
        <v>1</v>
      </c>
      <c r="AL18" s="2293" t="s">
        <v>2882</v>
      </c>
      <c r="AM18" s="1756" t="s">
        <v>2883</v>
      </c>
      <c r="AN18" s="1756"/>
    </row>
    <row r="19" spans="1:40" ht="109.5" customHeight="1" x14ac:dyDescent="0.25">
      <c r="A19" s="1951"/>
      <c r="B19" s="1952"/>
      <c r="C19" s="1952"/>
      <c r="D19" s="2254"/>
      <c r="E19" s="1952"/>
      <c r="F19" s="1952"/>
      <c r="G19" s="1952"/>
      <c r="H19" s="1166" t="s">
        <v>2002</v>
      </c>
      <c r="I19" s="1319"/>
      <c r="J19" s="1320" t="s">
        <v>1397</v>
      </c>
      <c r="K19" s="1320" t="s">
        <v>1397</v>
      </c>
      <c r="L19" s="1320" t="s">
        <v>1397</v>
      </c>
      <c r="M19" s="1320" t="s">
        <v>1397</v>
      </c>
      <c r="N19" s="1320" t="s">
        <v>1397</v>
      </c>
      <c r="O19" s="1320" t="s">
        <v>1397</v>
      </c>
      <c r="P19" s="1320" t="s">
        <v>1397</v>
      </c>
      <c r="Q19" s="1320" t="s">
        <v>1397</v>
      </c>
      <c r="R19" s="1320" t="s">
        <v>1397</v>
      </c>
      <c r="S19" s="1320" t="s">
        <v>1397</v>
      </c>
      <c r="T19" s="1321" t="s">
        <v>1397</v>
      </c>
      <c r="U19" s="746" t="s">
        <v>183</v>
      </c>
      <c r="V19" s="2135"/>
      <c r="W19" s="1272">
        <v>0.5</v>
      </c>
      <c r="X19" s="1955"/>
      <c r="Y19" s="1274" t="s">
        <v>2003</v>
      </c>
      <c r="Z19" s="1603">
        <v>0.67</v>
      </c>
      <c r="AA19" s="2265"/>
      <c r="AB19" s="1601" t="s">
        <v>2620</v>
      </c>
      <c r="AC19" s="1601" t="s">
        <v>2162</v>
      </c>
      <c r="AD19" s="1601"/>
      <c r="AE19" s="1682">
        <v>0.67</v>
      </c>
      <c r="AF19" s="2280"/>
      <c r="AG19" s="1645" t="s">
        <v>2666</v>
      </c>
      <c r="AH19" s="1645" t="s">
        <v>2657</v>
      </c>
      <c r="AI19" s="1645"/>
      <c r="AJ19" s="1753">
        <v>1</v>
      </c>
      <c r="AK19" s="2291"/>
      <c r="AL19" s="2294"/>
      <c r="AM19" s="1756" t="s">
        <v>2884</v>
      </c>
      <c r="AN19" s="1756"/>
    </row>
    <row r="20" spans="1:40" ht="165" x14ac:dyDescent="0.25">
      <c r="A20" s="1951"/>
      <c r="B20" s="746" t="s">
        <v>1583</v>
      </c>
      <c r="C20" s="746" t="s">
        <v>1759</v>
      </c>
      <c r="D20" s="746" t="s">
        <v>1703</v>
      </c>
      <c r="E20" s="746" t="s">
        <v>222</v>
      </c>
      <c r="F20" s="746" t="s">
        <v>192</v>
      </c>
      <c r="G20" s="746" t="s">
        <v>1636</v>
      </c>
      <c r="H20" s="1166" t="s">
        <v>2641</v>
      </c>
      <c r="I20" s="1326"/>
      <c r="J20" s="1327"/>
      <c r="K20" s="1328"/>
      <c r="L20" s="1328" t="s">
        <v>1397</v>
      </c>
      <c r="M20" s="1328" t="s">
        <v>1397</v>
      </c>
      <c r="N20" s="1328" t="s">
        <v>1397</v>
      </c>
      <c r="O20" s="1328" t="s">
        <v>1397</v>
      </c>
      <c r="P20" s="1328" t="s">
        <v>1397</v>
      </c>
      <c r="Q20" s="1328" t="s">
        <v>1397</v>
      </c>
      <c r="R20" s="1328" t="s">
        <v>1397</v>
      </c>
      <c r="S20" s="1328" t="s">
        <v>1397</v>
      </c>
      <c r="T20" s="1329" t="s">
        <v>1397</v>
      </c>
      <c r="U20" s="1271" t="s">
        <v>183</v>
      </c>
      <c r="V20" s="789" t="s">
        <v>193</v>
      </c>
      <c r="W20" s="799" t="s">
        <v>1906</v>
      </c>
      <c r="X20" s="799" t="s">
        <v>1906</v>
      </c>
      <c r="Y20" s="759" t="s">
        <v>2352</v>
      </c>
      <c r="Z20" s="1602">
        <v>0.75</v>
      </c>
      <c r="AA20" s="1599">
        <v>0.75</v>
      </c>
      <c r="AB20" s="1601" t="s">
        <v>2195</v>
      </c>
      <c r="AC20" s="1601" t="s">
        <v>2194</v>
      </c>
      <c r="AD20" s="1601"/>
      <c r="AE20" s="1602">
        <v>0.75</v>
      </c>
      <c r="AF20" s="1621">
        <v>0.75</v>
      </c>
      <c r="AG20" s="1620" t="s">
        <v>2195</v>
      </c>
      <c r="AH20" s="1620" t="s">
        <v>2655</v>
      </c>
      <c r="AI20" s="1620" t="s">
        <v>2754</v>
      </c>
      <c r="AJ20" s="1757">
        <v>0.85</v>
      </c>
      <c r="AK20" s="1753">
        <f>SUM(AJ20)</f>
        <v>0.85</v>
      </c>
      <c r="AL20" s="1740" t="s">
        <v>2195</v>
      </c>
      <c r="AM20" s="1758" t="s">
        <v>2655</v>
      </c>
      <c r="AN20" s="1740"/>
    </row>
    <row r="21" spans="1:40" ht="33.75" customHeight="1" x14ac:dyDescent="0.25">
      <c r="A21" s="1951"/>
      <c r="B21" s="1986" t="s">
        <v>1583</v>
      </c>
      <c r="C21" s="1986" t="s">
        <v>1800</v>
      </c>
      <c r="D21" s="1986" t="s">
        <v>1596</v>
      </c>
      <c r="E21" s="2260" t="s">
        <v>1760</v>
      </c>
      <c r="F21" s="1986" t="s">
        <v>197</v>
      </c>
      <c r="G21" s="1986" t="s">
        <v>1636</v>
      </c>
      <c r="H21" s="1166" t="s">
        <v>2642</v>
      </c>
      <c r="I21" s="1306"/>
      <c r="J21" s="1308"/>
      <c r="K21" s="1308"/>
      <c r="L21" s="1308" t="s">
        <v>1397</v>
      </c>
      <c r="M21" s="1308" t="s">
        <v>1397</v>
      </c>
      <c r="N21" s="1308" t="s">
        <v>1397</v>
      </c>
      <c r="O21" s="1308"/>
      <c r="P21" s="1308"/>
      <c r="Q21" s="1308"/>
      <c r="R21" s="1308"/>
      <c r="S21" s="1308"/>
      <c r="T21" s="1313"/>
      <c r="U21" s="1271">
        <v>43190</v>
      </c>
      <c r="V21" s="2255" t="s">
        <v>198</v>
      </c>
      <c r="W21" s="799" t="s">
        <v>1906</v>
      </c>
      <c r="X21" s="1954" t="s">
        <v>1906</v>
      </c>
      <c r="Y21" s="759" t="s">
        <v>2196</v>
      </c>
      <c r="Z21" s="1602">
        <v>1</v>
      </c>
      <c r="AA21" s="2264">
        <v>0.85</v>
      </c>
      <c r="AB21" s="2266" t="s">
        <v>2195</v>
      </c>
      <c r="AC21" s="2266" t="s">
        <v>2198</v>
      </c>
      <c r="AD21" s="1601"/>
      <c r="AE21" s="1602">
        <v>1</v>
      </c>
      <c r="AF21" s="2264">
        <v>0.95</v>
      </c>
      <c r="AG21" s="2266" t="s">
        <v>2195</v>
      </c>
      <c r="AH21" s="2266" t="s">
        <v>2654</v>
      </c>
      <c r="AI21" s="1620"/>
      <c r="AJ21" s="1757">
        <v>1</v>
      </c>
      <c r="AK21" s="2291">
        <f>SUM(AJ21,AJ22)/2</f>
        <v>0.95</v>
      </c>
      <c r="AL21" s="2266" t="s">
        <v>2195</v>
      </c>
      <c r="AM21" s="2292" t="s">
        <v>2885</v>
      </c>
      <c r="AN21" s="2271"/>
    </row>
    <row r="22" spans="1:40" ht="45.75" customHeight="1" x14ac:dyDescent="0.25">
      <c r="A22" s="1951"/>
      <c r="B22" s="1986"/>
      <c r="C22" s="1986"/>
      <c r="D22" s="1986"/>
      <c r="E22" s="2260"/>
      <c r="F22" s="1986"/>
      <c r="G22" s="1986"/>
      <c r="H22" s="1166" t="s">
        <v>2353</v>
      </c>
      <c r="I22" s="1319"/>
      <c r="J22" s="1320"/>
      <c r="K22" s="1320"/>
      <c r="L22" s="1320"/>
      <c r="M22" s="1320"/>
      <c r="N22" s="1320" t="s">
        <v>1397</v>
      </c>
      <c r="O22" s="1320" t="s">
        <v>1397</v>
      </c>
      <c r="P22" s="1320" t="s">
        <v>1397</v>
      </c>
      <c r="Q22" s="1320" t="s">
        <v>1397</v>
      </c>
      <c r="R22" s="1320"/>
      <c r="S22" s="1320"/>
      <c r="T22" s="1321"/>
      <c r="U22" s="1271">
        <v>43220</v>
      </c>
      <c r="V22" s="2136"/>
      <c r="W22" s="799" t="s">
        <v>1906</v>
      </c>
      <c r="X22" s="1954"/>
      <c r="Y22" s="759" t="s">
        <v>2197</v>
      </c>
      <c r="Z22" s="1602">
        <v>0.7</v>
      </c>
      <c r="AA22" s="2265"/>
      <c r="AB22" s="2266"/>
      <c r="AC22" s="2266"/>
      <c r="AD22" s="1601"/>
      <c r="AE22" s="1602">
        <v>0.9</v>
      </c>
      <c r="AF22" s="2265"/>
      <c r="AG22" s="2266"/>
      <c r="AH22" s="2266"/>
      <c r="AI22" s="1620"/>
      <c r="AJ22" s="1757">
        <v>0.9</v>
      </c>
      <c r="AK22" s="2288"/>
      <c r="AL22" s="2266"/>
      <c r="AM22" s="2292"/>
      <c r="AN22" s="2272"/>
    </row>
    <row r="23" spans="1:40" ht="41.25" customHeight="1" x14ac:dyDescent="0.25">
      <c r="A23" s="1951"/>
      <c r="B23" s="1952" t="s">
        <v>1583</v>
      </c>
      <c r="C23" s="1952" t="s">
        <v>1801</v>
      </c>
      <c r="D23" s="1952" t="s">
        <v>1802</v>
      </c>
      <c r="E23" s="1952" t="s">
        <v>1803</v>
      </c>
      <c r="F23" s="1952" t="s">
        <v>1597</v>
      </c>
      <c r="G23" s="1952" t="s">
        <v>1636</v>
      </c>
      <c r="H23" s="1166" t="s">
        <v>2643</v>
      </c>
      <c r="I23" s="1315"/>
      <c r="J23" s="1317"/>
      <c r="K23" s="1317"/>
      <c r="L23" s="1317" t="s">
        <v>1397</v>
      </c>
      <c r="M23" s="1317" t="s">
        <v>1397</v>
      </c>
      <c r="N23" s="1317" t="s">
        <v>1397</v>
      </c>
      <c r="O23" s="1317" t="s">
        <v>1397</v>
      </c>
      <c r="P23" s="1317" t="s">
        <v>1397</v>
      </c>
      <c r="Q23" s="1317" t="s">
        <v>1397</v>
      </c>
      <c r="R23" s="1317"/>
      <c r="S23" s="1317"/>
      <c r="T23" s="1309"/>
      <c r="U23" s="1271">
        <v>43159</v>
      </c>
      <c r="V23" s="2124" t="s">
        <v>1598</v>
      </c>
      <c r="W23" s="799" t="s">
        <v>1906</v>
      </c>
      <c r="X23" s="1954" t="s">
        <v>1906</v>
      </c>
      <c r="Y23" s="759" t="s">
        <v>2199</v>
      </c>
      <c r="Z23" s="1602">
        <v>0.7</v>
      </c>
      <c r="AA23" s="2269">
        <v>0.7</v>
      </c>
      <c r="AB23" s="2266" t="s">
        <v>2195</v>
      </c>
      <c r="AC23" s="2266" t="s">
        <v>2201</v>
      </c>
      <c r="AD23" s="1601"/>
      <c r="AE23" s="1602">
        <v>0.85</v>
      </c>
      <c r="AF23" s="2269">
        <v>0.85</v>
      </c>
      <c r="AG23" s="2266" t="s">
        <v>2195</v>
      </c>
      <c r="AH23" s="2266" t="s">
        <v>2645</v>
      </c>
      <c r="AI23" s="1620" t="s">
        <v>2651</v>
      </c>
      <c r="AJ23" s="1757">
        <v>0.9</v>
      </c>
      <c r="AK23" s="2285">
        <f>SUM(AJ23)</f>
        <v>0.9</v>
      </c>
      <c r="AL23" s="2266" t="s">
        <v>2195</v>
      </c>
      <c r="AM23" s="2287" t="s">
        <v>2886</v>
      </c>
      <c r="AN23" s="2271"/>
    </row>
    <row r="24" spans="1:40" ht="30" customHeight="1" x14ac:dyDescent="0.25">
      <c r="A24" s="1951"/>
      <c r="B24" s="1952"/>
      <c r="C24" s="1952"/>
      <c r="D24" s="1952"/>
      <c r="E24" s="1952"/>
      <c r="F24" s="1952"/>
      <c r="G24" s="1952"/>
      <c r="H24" s="1166" t="s">
        <v>2644</v>
      </c>
      <c r="I24" s="1310"/>
      <c r="J24" s="1312"/>
      <c r="K24" s="1312"/>
      <c r="L24" s="1312"/>
      <c r="M24" s="1312"/>
      <c r="N24" s="1312"/>
      <c r="O24" s="1312"/>
      <c r="P24" s="1312"/>
      <c r="Q24" s="1312"/>
      <c r="R24" s="1312"/>
      <c r="S24" s="1312" t="s">
        <v>1397</v>
      </c>
      <c r="T24" s="1318"/>
      <c r="U24" s="1271">
        <v>43281</v>
      </c>
      <c r="V24" s="2258"/>
      <c r="W24" s="799" t="s">
        <v>1906</v>
      </c>
      <c r="X24" s="1954"/>
      <c r="Y24" s="759" t="s">
        <v>2354</v>
      </c>
      <c r="Z24" s="1605" t="s">
        <v>1906</v>
      </c>
      <c r="AA24" s="2270"/>
      <c r="AB24" s="2266"/>
      <c r="AC24" s="2266"/>
      <c r="AD24" s="1601"/>
      <c r="AE24" s="1605" t="s">
        <v>1906</v>
      </c>
      <c r="AF24" s="2270"/>
      <c r="AG24" s="2266"/>
      <c r="AH24" s="2266"/>
      <c r="AI24" s="1642" t="s">
        <v>2652</v>
      </c>
      <c r="AJ24" s="1759" t="s">
        <v>1906</v>
      </c>
      <c r="AK24" s="2286"/>
      <c r="AL24" s="2266"/>
      <c r="AM24" s="2287"/>
      <c r="AN24" s="2273"/>
    </row>
    <row r="25" spans="1:40" ht="38.25" customHeight="1" x14ac:dyDescent="0.25">
      <c r="A25" s="1951"/>
      <c r="B25" s="1952"/>
      <c r="C25" s="1952"/>
      <c r="D25" s="1952"/>
      <c r="E25" s="1952"/>
      <c r="F25" s="1952"/>
      <c r="G25" s="1952"/>
      <c r="H25" s="1166" t="s">
        <v>2004</v>
      </c>
      <c r="I25" s="1310"/>
      <c r="J25" s="1312"/>
      <c r="K25" s="1312"/>
      <c r="L25" s="1312"/>
      <c r="M25" s="1312"/>
      <c r="N25" s="1312"/>
      <c r="O25" s="1312"/>
      <c r="P25" s="1312"/>
      <c r="Q25" s="1312"/>
      <c r="R25" s="1312"/>
      <c r="S25" s="1312" t="s">
        <v>1397</v>
      </c>
      <c r="T25" s="1312" t="s">
        <v>1397</v>
      </c>
      <c r="U25" s="1271">
        <v>43343</v>
      </c>
      <c r="V25" s="2258"/>
      <c r="W25" s="799" t="s">
        <v>1906</v>
      </c>
      <c r="X25" s="1954"/>
      <c r="Y25" s="2104" t="s">
        <v>2200</v>
      </c>
      <c r="Z25" s="2261" t="s">
        <v>1906</v>
      </c>
      <c r="AA25" s="2270"/>
      <c r="AB25" s="2266"/>
      <c r="AC25" s="2266"/>
      <c r="AD25" s="1601"/>
      <c r="AE25" s="2261" t="s">
        <v>1906</v>
      </c>
      <c r="AF25" s="2270"/>
      <c r="AG25" s="2266"/>
      <c r="AH25" s="2266"/>
      <c r="AI25" s="1620"/>
      <c r="AJ25" s="2297" t="s">
        <v>1906</v>
      </c>
      <c r="AK25" s="2286"/>
      <c r="AL25" s="2266"/>
      <c r="AM25" s="2287"/>
      <c r="AN25" s="2273"/>
    </row>
    <row r="26" spans="1:40" ht="30" customHeight="1" x14ac:dyDescent="0.25">
      <c r="A26" s="1951"/>
      <c r="B26" s="1952"/>
      <c r="C26" s="1952"/>
      <c r="D26" s="1952"/>
      <c r="E26" s="1952"/>
      <c r="F26" s="1952"/>
      <c r="G26" s="1952"/>
      <c r="H26" s="1166" t="s">
        <v>2005</v>
      </c>
      <c r="I26" s="1310"/>
      <c r="J26" s="1312"/>
      <c r="K26" s="1312"/>
      <c r="L26" s="1312"/>
      <c r="M26" s="1312"/>
      <c r="N26" s="1312"/>
      <c r="O26" s="1312"/>
      <c r="P26" s="1312"/>
      <c r="Q26" s="1312"/>
      <c r="R26" s="1312"/>
      <c r="S26" s="1312" t="s">
        <v>1397</v>
      </c>
      <c r="T26" s="1312" t="s">
        <v>1397</v>
      </c>
      <c r="U26" s="1271">
        <v>43404</v>
      </c>
      <c r="V26" s="2258"/>
      <c r="W26" s="799" t="s">
        <v>1906</v>
      </c>
      <c r="X26" s="1954"/>
      <c r="Y26" s="2152"/>
      <c r="Z26" s="2262"/>
      <c r="AA26" s="2270"/>
      <c r="AB26" s="2266"/>
      <c r="AC26" s="2266"/>
      <c r="AD26" s="1601"/>
      <c r="AE26" s="2262"/>
      <c r="AF26" s="2270"/>
      <c r="AG26" s="2266"/>
      <c r="AH26" s="2266"/>
      <c r="AI26" s="1620"/>
      <c r="AJ26" s="2298"/>
      <c r="AK26" s="2286"/>
      <c r="AL26" s="2266"/>
      <c r="AM26" s="2287"/>
      <c r="AN26" s="2273"/>
    </row>
    <row r="27" spans="1:40" ht="30" customHeight="1" x14ac:dyDescent="0.25">
      <c r="A27" s="1951"/>
      <c r="B27" s="1952"/>
      <c r="C27" s="1952"/>
      <c r="D27" s="1952"/>
      <c r="E27" s="1952"/>
      <c r="F27" s="1952"/>
      <c r="G27" s="1952"/>
      <c r="H27" s="1166" t="s">
        <v>2006</v>
      </c>
      <c r="I27" s="1322"/>
      <c r="J27" s="1324"/>
      <c r="K27" s="1324"/>
      <c r="L27" s="1324"/>
      <c r="M27" s="1324"/>
      <c r="N27" s="1324"/>
      <c r="O27" s="1324"/>
      <c r="P27" s="1324"/>
      <c r="Q27" s="1324"/>
      <c r="R27" s="1324"/>
      <c r="S27" s="1324" t="s">
        <v>1397</v>
      </c>
      <c r="T27" s="1324" t="s">
        <v>1397</v>
      </c>
      <c r="U27" s="1271">
        <v>43465</v>
      </c>
      <c r="V27" s="2259"/>
      <c r="W27" s="799" t="s">
        <v>1906</v>
      </c>
      <c r="X27" s="1954"/>
      <c r="Y27" s="2105"/>
      <c r="Z27" s="2263"/>
      <c r="AA27" s="2270"/>
      <c r="AB27" s="2266"/>
      <c r="AC27" s="2266"/>
      <c r="AD27" s="1601"/>
      <c r="AE27" s="2263"/>
      <c r="AF27" s="2270"/>
      <c r="AG27" s="2266"/>
      <c r="AH27" s="2266"/>
      <c r="AI27" s="1620"/>
      <c r="AJ27" s="2299"/>
      <c r="AK27" s="2286"/>
      <c r="AL27" s="2266"/>
      <c r="AM27" s="2287"/>
      <c r="AN27" s="2272"/>
    </row>
    <row r="28" spans="1:40" ht="63" customHeight="1" x14ac:dyDescent="0.25">
      <c r="A28" s="1951"/>
      <c r="B28" s="1986" t="s">
        <v>1583</v>
      </c>
      <c r="C28" s="1986" t="s">
        <v>1267</v>
      </c>
      <c r="D28" s="1986" t="s">
        <v>1704</v>
      </c>
      <c r="E28" s="1986" t="s">
        <v>1803</v>
      </c>
      <c r="F28" s="1986" t="s">
        <v>1705</v>
      </c>
      <c r="G28" s="1986" t="s">
        <v>1636</v>
      </c>
      <c r="H28" s="1166" t="s">
        <v>2275</v>
      </c>
      <c r="I28" s="1315"/>
      <c r="J28" s="1317"/>
      <c r="K28" s="1317"/>
      <c r="L28" s="1317" t="s">
        <v>1397</v>
      </c>
      <c r="M28" s="1317" t="s">
        <v>1397</v>
      </c>
      <c r="N28" s="1317" t="s">
        <v>1397</v>
      </c>
      <c r="O28" s="1317" t="s">
        <v>1397</v>
      </c>
      <c r="P28" s="1317" t="s">
        <v>1397</v>
      </c>
      <c r="Q28" s="1317" t="s">
        <v>1397</v>
      </c>
      <c r="R28" s="1317" t="s">
        <v>1397</v>
      </c>
      <c r="S28" s="1317" t="s">
        <v>1397</v>
      </c>
      <c r="T28" s="1309" t="s">
        <v>1397</v>
      </c>
      <c r="U28" s="1271">
        <v>43465</v>
      </c>
      <c r="V28" s="2124" t="s">
        <v>211</v>
      </c>
      <c r="W28" s="799" t="s">
        <v>1906</v>
      </c>
      <c r="X28" s="1954" t="s">
        <v>1906</v>
      </c>
      <c r="Y28" s="1955" t="s">
        <v>2007</v>
      </c>
      <c r="Z28" s="1600">
        <v>0.75</v>
      </c>
      <c r="AA28" s="2269">
        <v>0.6</v>
      </c>
      <c r="AB28" s="2266" t="s">
        <v>2607</v>
      </c>
      <c r="AC28" s="1601" t="s">
        <v>2608</v>
      </c>
      <c r="AD28" s="1601"/>
      <c r="AE28" s="1600">
        <v>0.9</v>
      </c>
      <c r="AF28" s="2269">
        <v>0.82</v>
      </c>
      <c r="AG28" s="2266" t="s">
        <v>2607</v>
      </c>
      <c r="AH28" s="1620" t="s">
        <v>2647</v>
      </c>
      <c r="AI28" s="1620"/>
      <c r="AJ28" s="1760">
        <v>1</v>
      </c>
      <c r="AK28" s="2281">
        <f>SUM(AJ28,AJ29,AJ30)/3</f>
        <v>0.96666666666666667</v>
      </c>
      <c r="AL28" s="2283" t="s">
        <v>2887</v>
      </c>
      <c r="AM28" s="1740" t="s">
        <v>2888</v>
      </c>
      <c r="AN28" s="2271"/>
    </row>
    <row r="29" spans="1:40" ht="30" customHeight="1" x14ac:dyDescent="0.25">
      <c r="A29" s="1951"/>
      <c r="B29" s="1986"/>
      <c r="C29" s="1986"/>
      <c r="D29" s="1986"/>
      <c r="E29" s="1986"/>
      <c r="F29" s="1986"/>
      <c r="G29" s="1986"/>
      <c r="H29" s="1166" t="s">
        <v>2008</v>
      </c>
      <c r="I29" s="1310"/>
      <c r="J29" s="1312"/>
      <c r="K29" s="1312"/>
      <c r="L29" s="1312" t="s">
        <v>1397</v>
      </c>
      <c r="M29" s="1312" t="s">
        <v>1397</v>
      </c>
      <c r="N29" s="1312" t="s">
        <v>1397</v>
      </c>
      <c r="O29" s="1312" t="s">
        <v>1397</v>
      </c>
      <c r="P29" s="1312" t="s">
        <v>1397</v>
      </c>
      <c r="Q29" s="1312" t="s">
        <v>1397</v>
      </c>
      <c r="R29" s="1312" t="s">
        <v>1397</v>
      </c>
      <c r="S29" s="1312" t="s">
        <v>1397</v>
      </c>
      <c r="T29" s="1318" t="s">
        <v>1397</v>
      </c>
      <c r="U29" s="1271">
        <v>43465</v>
      </c>
      <c r="V29" s="2258"/>
      <c r="W29" s="799" t="s">
        <v>1906</v>
      </c>
      <c r="X29" s="1954"/>
      <c r="Y29" s="1955"/>
      <c r="Z29" s="1600">
        <v>0.3</v>
      </c>
      <c r="AA29" s="2270"/>
      <c r="AB29" s="2266"/>
      <c r="AC29" s="1601" t="s">
        <v>2609</v>
      </c>
      <c r="AD29" s="1601"/>
      <c r="AE29" s="1600">
        <v>0.7</v>
      </c>
      <c r="AF29" s="2270"/>
      <c r="AG29" s="2266"/>
      <c r="AH29" s="1620" t="s">
        <v>2646</v>
      </c>
      <c r="AI29" s="1620"/>
      <c r="AJ29" s="1760">
        <v>0.9</v>
      </c>
      <c r="AK29" s="2300"/>
      <c r="AL29" s="2283"/>
      <c r="AM29" s="1740" t="s">
        <v>2889</v>
      </c>
      <c r="AN29" s="2273"/>
    </row>
    <row r="30" spans="1:40" ht="30" customHeight="1" x14ac:dyDescent="0.25">
      <c r="A30" s="1951"/>
      <c r="B30" s="1986"/>
      <c r="C30" s="1986"/>
      <c r="D30" s="1986"/>
      <c r="E30" s="1986"/>
      <c r="F30" s="1986"/>
      <c r="G30" s="1986"/>
      <c r="H30" s="1166" t="s">
        <v>2009</v>
      </c>
      <c r="I30" s="1322"/>
      <c r="J30" s="1324"/>
      <c r="K30" s="1324"/>
      <c r="L30" s="1324"/>
      <c r="M30" s="1324"/>
      <c r="N30" s="1324"/>
      <c r="O30" s="1324"/>
      <c r="P30" s="1324"/>
      <c r="Q30" s="1324"/>
      <c r="R30" s="1324"/>
      <c r="S30" s="1324"/>
      <c r="T30" s="1325"/>
      <c r="U30" s="1271">
        <v>43455</v>
      </c>
      <c r="V30" s="2259"/>
      <c r="W30" s="841" t="s">
        <v>1906</v>
      </c>
      <c r="X30" s="1954"/>
      <c r="Y30" s="798"/>
      <c r="Z30" s="1600">
        <v>0.75</v>
      </c>
      <c r="AA30" s="2270"/>
      <c r="AB30" s="2266"/>
      <c r="AC30" s="1601" t="s">
        <v>2610</v>
      </c>
      <c r="AD30" s="1601"/>
      <c r="AE30" s="1600">
        <v>0.85</v>
      </c>
      <c r="AF30" s="2270"/>
      <c r="AG30" s="2266"/>
      <c r="AH30" s="1620" t="s">
        <v>2648</v>
      </c>
      <c r="AI30" s="1620"/>
      <c r="AJ30" s="1760">
        <v>1</v>
      </c>
      <c r="AK30" s="2300"/>
      <c r="AL30" s="2283"/>
      <c r="AM30" s="1740" t="s">
        <v>2610</v>
      </c>
      <c r="AN30" s="2272"/>
    </row>
    <row r="31" spans="1:40" ht="30" customHeight="1" x14ac:dyDescent="0.25">
      <c r="A31" s="1951"/>
      <c r="B31" s="745"/>
      <c r="C31" s="2124" t="s">
        <v>1268</v>
      </c>
      <c r="D31" s="2021" t="s">
        <v>1706</v>
      </c>
      <c r="E31" s="2021" t="s">
        <v>1803</v>
      </c>
      <c r="F31" s="2021" t="s">
        <v>1707</v>
      </c>
      <c r="G31" s="2124" t="s">
        <v>1636</v>
      </c>
      <c r="H31" s="1166" t="s">
        <v>2355</v>
      </c>
      <c r="I31" s="1306"/>
      <c r="J31" s="1308"/>
      <c r="K31" s="1308"/>
      <c r="L31" s="1308" t="s">
        <v>1397</v>
      </c>
      <c r="M31" s="1308" t="s">
        <v>1397</v>
      </c>
      <c r="N31" s="1308" t="s">
        <v>1397</v>
      </c>
      <c r="O31" s="1308" t="s">
        <v>1397</v>
      </c>
      <c r="P31" s="1308" t="s">
        <v>1397</v>
      </c>
      <c r="Q31" s="1308" t="s">
        <v>1397</v>
      </c>
      <c r="R31" s="1308" t="s">
        <v>1397</v>
      </c>
      <c r="S31" s="1308" t="s">
        <v>1397</v>
      </c>
      <c r="T31" s="1313" t="s">
        <v>1397</v>
      </c>
      <c r="U31" s="1271"/>
      <c r="V31" s="1277"/>
      <c r="W31" s="841" t="s">
        <v>1906</v>
      </c>
      <c r="X31" s="1955" t="s">
        <v>1906</v>
      </c>
      <c r="Y31" s="1955" t="s">
        <v>2010</v>
      </c>
      <c r="Z31" s="2274">
        <v>0.8</v>
      </c>
      <c r="AA31" s="2264">
        <v>0.8</v>
      </c>
      <c r="AB31" s="2266" t="s">
        <v>2607</v>
      </c>
      <c r="AC31" s="2271" t="s">
        <v>2611</v>
      </c>
      <c r="AD31" s="2271"/>
      <c r="AE31" s="2274">
        <v>0.85</v>
      </c>
      <c r="AF31" s="2264">
        <v>0.85</v>
      </c>
      <c r="AG31" s="2266" t="s">
        <v>2607</v>
      </c>
      <c r="AH31" s="2271" t="s">
        <v>2649</v>
      </c>
      <c r="AI31" s="2271"/>
      <c r="AJ31" s="1719">
        <v>1</v>
      </c>
      <c r="AK31" s="2301">
        <v>0.6</v>
      </c>
      <c r="AL31" s="2283" t="s">
        <v>2887</v>
      </c>
      <c r="AM31" s="1761" t="s">
        <v>3035</v>
      </c>
      <c r="AN31" s="2271"/>
    </row>
    <row r="32" spans="1:40" ht="52.5" customHeight="1" x14ac:dyDescent="0.25">
      <c r="A32" s="1951"/>
      <c r="B32" s="1952" t="s">
        <v>1583</v>
      </c>
      <c r="C32" s="2258"/>
      <c r="D32" s="2022"/>
      <c r="E32" s="2022"/>
      <c r="F32" s="2022"/>
      <c r="G32" s="2258"/>
      <c r="H32" s="1166" t="s">
        <v>2011</v>
      </c>
      <c r="I32" s="1310"/>
      <c r="J32" s="1312"/>
      <c r="K32" s="1312"/>
      <c r="L32" s="1312"/>
      <c r="M32" s="1312"/>
      <c r="N32" s="1312"/>
      <c r="O32" s="1312"/>
      <c r="P32" s="1312"/>
      <c r="Q32" s="1312"/>
      <c r="R32" s="1312"/>
      <c r="S32" s="1312"/>
      <c r="T32" s="1318"/>
      <c r="U32" s="1271">
        <v>43465</v>
      </c>
      <c r="V32" s="2124" t="s">
        <v>215</v>
      </c>
      <c r="W32" s="841" t="s">
        <v>1906</v>
      </c>
      <c r="X32" s="1955"/>
      <c r="Y32" s="1955"/>
      <c r="Z32" s="2275"/>
      <c r="AA32" s="2265"/>
      <c r="AB32" s="2266"/>
      <c r="AC32" s="2273"/>
      <c r="AD32" s="2273"/>
      <c r="AE32" s="2275"/>
      <c r="AF32" s="2265"/>
      <c r="AG32" s="2266"/>
      <c r="AH32" s="2273"/>
      <c r="AI32" s="2273"/>
      <c r="AJ32" s="1719">
        <v>0.2</v>
      </c>
      <c r="AK32" s="2302"/>
      <c r="AL32" s="2283"/>
      <c r="AM32" s="1761" t="s">
        <v>2890</v>
      </c>
      <c r="AN32" s="2273"/>
    </row>
    <row r="33" spans="1:40" ht="30" customHeight="1" x14ac:dyDescent="0.25">
      <c r="A33" s="1951"/>
      <c r="B33" s="1952"/>
      <c r="C33" s="2259"/>
      <c r="D33" s="2023"/>
      <c r="E33" s="2023"/>
      <c r="F33" s="2023"/>
      <c r="G33" s="2259"/>
      <c r="H33" s="1278" t="s">
        <v>2012</v>
      </c>
      <c r="I33" s="1322"/>
      <c r="J33" s="1324"/>
      <c r="K33" s="1324"/>
      <c r="L33" s="1324"/>
      <c r="M33" s="1324"/>
      <c r="N33" s="1324"/>
      <c r="O33" s="1324"/>
      <c r="P33" s="1324"/>
      <c r="Q33" s="1324"/>
      <c r="R33" s="1324"/>
      <c r="S33" s="1324"/>
      <c r="T33" s="1325"/>
      <c r="U33" s="1279">
        <v>43465</v>
      </c>
      <c r="V33" s="2258"/>
      <c r="W33" s="841" t="s">
        <v>1906</v>
      </c>
      <c r="X33" s="1955"/>
      <c r="Y33" s="1955"/>
      <c r="Z33" s="2276"/>
      <c r="AA33" s="2265"/>
      <c r="AB33" s="2266"/>
      <c r="AC33" s="2272"/>
      <c r="AD33" s="2272"/>
      <c r="AE33" s="2276"/>
      <c r="AF33" s="2265"/>
      <c r="AG33" s="2266"/>
      <c r="AH33" s="2272"/>
      <c r="AI33" s="2272"/>
      <c r="AJ33" s="1719" t="s">
        <v>353</v>
      </c>
      <c r="AK33" s="2302"/>
      <c r="AL33" s="2283"/>
      <c r="AM33" s="1762" t="s">
        <v>217</v>
      </c>
      <c r="AN33" s="2272"/>
    </row>
    <row r="34" spans="1:40" ht="14.25" customHeight="1" x14ac:dyDescent="0.25">
      <c r="A34" s="875" t="s">
        <v>2280</v>
      </c>
      <c r="B34" s="841"/>
      <c r="C34" s="799"/>
      <c r="D34" s="798"/>
      <c r="E34" s="799"/>
      <c r="F34" s="799"/>
      <c r="G34" s="799"/>
      <c r="H34" s="864"/>
      <c r="I34" s="1275"/>
      <c r="J34" s="1276"/>
      <c r="K34" s="1276"/>
      <c r="L34" s="1276"/>
      <c r="M34" s="1276"/>
      <c r="N34" s="1276"/>
      <c r="O34" s="1276"/>
      <c r="P34" s="1276"/>
      <c r="Q34" s="1276"/>
      <c r="R34" s="1276"/>
      <c r="S34" s="1276"/>
      <c r="T34" s="1285"/>
      <c r="U34" s="1280"/>
      <c r="V34" s="1281"/>
      <c r="Z34" s="798"/>
      <c r="AA34" s="798"/>
      <c r="AB34" s="749"/>
      <c r="AC34" s="749"/>
      <c r="AD34" s="749"/>
      <c r="AE34" s="798"/>
      <c r="AF34" s="798"/>
      <c r="AG34" s="1618"/>
      <c r="AH34" s="1618"/>
      <c r="AI34" s="1618"/>
      <c r="AJ34" s="1763"/>
      <c r="AK34" s="1763"/>
      <c r="AL34" s="1764"/>
      <c r="AM34" s="1764"/>
      <c r="AN34" s="1740"/>
    </row>
    <row r="35" spans="1:40" ht="14.25" customHeight="1" x14ac:dyDescent="0.25">
      <c r="A35" s="875"/>
      <c r="B35" s="841"/>
      <c r="C35" s="799"/>
      <c r="D35" s="798"/>
      <c r="E35" s="799"/>
      <c r="F35" s="799"/>
      <c r="G35" s="799"/>
      <c r="H35" s="864"/>
      <c r="I35" s="1275"/>
      <c r="J35" s="1276"/>
      <c r="K35" s="1276"/>
      <c r="L35" s="1276"/>
      <c r="M35" s="1276"/>
      <c r="N35" s="1276"/>
      <c r="O35" s="1276"/>
      <c r="P35" s="1276"/>
      <c r="Q35" s="1276"/>
      <c r="R35" s="1276"/>
      <c r="S35" s="1276"/>
      <c r="T35" s="1285"/>
      <c r="U35" s="1280"/>
      <c r="V35" s="1281"/>
      <c r="Z35" s="798"/>
      <c r="AA35" s="798"/>
      <c r="AB35" s="749"/>
      <c r="AC35" s="749"/>
      <c r="AD35" s="749"/>
      <c r="AE35" s="798"/>
      <c r="AF35" s="798"/>
      <c r="AG35" s="1618"/>
      <c r="AH35" s="1618"/>
      <c r="AI35" s="1618"/>
      <c r="AJ35" s="617"/>
      <c r="AK35" s="617"/>
      <c r="AL35" s="1740"/>
      <c r="AM35" s="1740"/>
      <c r="AN35" s="1740"/>
    </row>
    <row r="36" spans="1:40" x14ac:dyDescent="0.25">
      <c r="A36" s="876"/>
      <c r="B36" s="847"/>
      <c r="C36" s="802"/>
      <c r="E36" s="802"/>
      <c r="F36" s="802"/>
      <c r="G36" s="802"/>
      <c r="H36" s="803"/>
      <c r="I36" s="1282"/>
      <c r="J36" s="1283"/>
      <c r="K36" s="1283"/>
      <c r="L36" s="1283"/>
      <c r="M36" s="1283"/>
      <c r="N36" s="1283"/>
      <c r="O36" s="1283"/>
      <c r="P36" s="1283"/>
      <c r="Q36" s="1283"/>
      <c r="R36" s="1283"/>
      <c r="S36" s="1283"/>
      <c r="T36" s="1284"/>
      <c r="U36" s="795"/>
      <c r="W36" s="805" t="s">
        <v>2013</v>
      </c>
      <c r="X36" s="804"/>
      <c r="Y36" s="804" t="s">
        <v>1948</v>
      </c>
      <c r="AL36" s="770"/>
      <c r="AM36" s="770"/>
      <c r="AN36" s="770"/>
    </row>
    <row r="37" spans="1:40" x14ac:dyDescent="0.25">
      <c r="A37" s="876"/>
      <c r="B37" s="847"/>
      <c r="C37" s="802"/>
      <c r="E37" s="802"/>
      <c r="F37" s="802"/>
      <c r="G37" s="802"/>
      <c r="H37" s="803"/>
      <c r="U37" s="795"/>
      <c r="W37" s="805" t="s">
        <v>2014</v>
      </c>
      <c r="X37" s="804"/>
      <c r="Y37" s="804" t="s">
        <v>2016</v>
      </c>
      <c r="Z37" s="1202" t="s">
        <v>2402</v>
      </c>
      <c r="AA37" s="1380" t="s">
        <v>2403</v>
      </c>
      <c r="AE37" s="1202" t="s">
        <v>2402</v>
      </c>
      <c r="AF37" s="1380" t="s">
        <v>2403</v>
      </c>
      <c r="AJ37" s="1202" t="s">
        <v>2402</v>
      </c>
      <c r="AK37" s="1380" t="s">
        <v>2719</v>
      </c>
      <c r="AL37" s="770"/>
      <c r="AM37" s="770"/>
      <c r="AN37" s="770"/>
    </row>
    <row r="38" spans="1:40" x14ac:dyDescent="0.25">
      <c r="A38" s="876"/>
      <c r="B38" s="847"/>
      <c r="C38" s="802"/>
      <c r="E38" s="802"/>
      <c r="F38" s="802"/>
      <c r="G38" s="802"/>
      <c r="H38" s="803"/>
      <c r="U38" s="795"/>
      <c r="W38" s="804" t="s">
        <v>2015</v>
      </c>
      <c r="X38" s="804"/>
      <c r="Y38" s="733">
        <v>0.155</v>
      </c>
      <c r="Z38" s="1202" t="s">
        <v>2621</v>
      </c>
      <c r="AA38" s="1204" t="s">
        <v>2376</v>
      </c>
      <c r="AB38" s="1508">
        <f>(71%*25%)</f>
        <v>0.17749999999999999</v>
      </c>
      <c r="AE38" s="1202" t="s">
        <v>2671</v>
      </c>
      <c r="AF38" s="1204" t="s">
        <v>2376</v>
      </c>
      <c r="AG38" s="1508">
        <f>80%*25%</f>
        <v>0.2</v>
      </c>
      <c r="AJ38" s="1202" t="s">
        <v>3036</v>
      </c>
      <c r="AK38" s="1204" t="s">
        <v>2376</v>
      </c>
      <c r="AL38" s="1508">
        <f>82%*25%</f>
        <v>0.20499999999999999</v>
      </c>
      <c r="AM38" s="770"/>
      <c r="AN38" s="770"/>
    </row>
    <row r="39" spans="1:40" x14ac:dyDescent="0.25">
      <c r="AL39" s="770"/>
      <c r="AM39" s="770"/>
      <c r="AN39" s="770"/>
    </row>
  </sheetData>
  <mergeCells count="175">
    <mergeCell ref="AN23:AN27"/>
    <mergeCell ref="AN28:AN30"/>
    <mergeCell ref="AN31:AN33"/>
    <mergeCell ref="AK23:AK27"/>
    <mergeCell ref="AL23:AL27"/>
    <mergeCell ref="AN10:AN13"/>
    <mergeCell ref="AK14:AK17"/>
    <mergeCell ref="AN21:AN22"/>
    <mergeCell ref="AM23:AM27"/>
    <mergeCell ref="AE31:AE33"/>
    <mergeCell ref="AF31:AF33"/>
    <mergeCell ref="AG31:AG33"/>
    <mergeCell ref="AG23:AG27"/>
    <mergeCell ref="AN14:AN17"/>
    <mergeCell ref="AL14:AL17"/>
    <mergeCell ref="AM14:AM17"/>
    <mergeCell ref="AK18:AK19"/>
    <mergeCell ref="AK21:AK22"/>
    <mergeCell ref="AL21:AL22"/>
    <mergeCell ref="AM21:AM22"/>
    <mergeCell ref="AL18:AL19"/>
    <mergeCell ref="AK10:AK13"/>
    <mergeCell ref="AL10:AL13"/>
    <mergeCell ref="AM10:AM13"/>
    <mergeCell ref="AJ25:AJ27"/>
    <mergeCell ref="AK28:AK30"/>
    <mergeCell ref="AL28:AL30"/>
    <mergeCell ref="AK31:AK33"/>
    <mergeCell ref="AL31:AL33"/>
    <mergeCell ref="AJ1:AN1"/>
    <mergeCell ref="AK4:AK5"/>
    <mergeCell ref="AL4:AL5"/>
    <mergeCell ref="AM4:AM5"/>
    <mergeCell ref="AN4:AN5"/>
    <mergeCell ref="AK6:AK9"/>
    <mergeCell ref="AL6:AL9"/>
    <mergeCell ref="AM6:AM9"/>
    <mergeCell ref="AN6:AN9"/>
    <mergeCell ref="AD31:AD33"/>
    <mergeCell ref="AC23:AC27"/>
    <mergeCell ref="AC31:AC33"/>
    <mergeCell ref="AC4:AC5"/>
    <mergeCell ref="AC6:AC9"/>
    <mergeCell ref="AH23:AH27"/>
    <mergeCell ref="AE1:AI1"/>
    <mergeCell ref="AF4:AF5"/>
    <mergeCell ref="AG4:AG5"/>
    <mergeCell ref="AH4:AH5"/>
    <mergeCell ref="AF6:AF9"/>
    <mergeCell ref="AG6:AG9"/>
    <mergeCell ref="AH6:AH9"/>
    <mergeCell ref="AF10:AF13"/>
    <mergeCell ref="AG10:AG13"/>
    <mergeCell ref="AH31:AH33"/>
    <mergeCell ref="AI31:AI33"/>
    <mergeCell ref="AF14:AF17"/>
    <mergeCell ref="AG14:AG17"/>
    <mergeCell ref="AH14:AH17"/>
    <mergeCell ref="AF18:AF19"/>
    <mergeCell ref="AF21:AF22"/>
    <mergeCell ref="AG21:AG22"/>
    <mergeCell ref="AC10:AC13"/>
    <mergeCell ref="AC14:AC17"/>
    <mergeCell ref="AC21:AC22"/>
    <mergeCell ref="AA23:AA27"/>
    <mergeCell ref="AB23:AB27"/>
    <mergeCell ref="AA28:AA30"/>
    <mergeCell ref="AH10:AH13"/>
    <mergeCell ref="AI4:AI5"/>
    <mergeCell ref="AI6:AI9"/>
    <mergeCell ref="AI10:AI13"/>
    <mergeCell ref="AH21:AH22"/>
    <mergeCell ref="AF23:AF27"/>
    <mergeCell ref="AE25:AE27"/>
    <mergeCell ref="AF28:AF30"/>
    <mergeCell ref="AG28:AG30"/>
    <mergeCell ref="AA4:AA5"/>
    <mergeCell ref="AB4:AB5"/>
    <mergeCell ref="AA6:AA9"/>
    <mergeCell ref="AB6:AB9"/>
    <mergeCell ref="AA10:AA13"/>
    <mergeCell ref="AB10:AB13"/>
    <mergeCell ref="AA31:AA33"/>
    <mergeCell ref="AB31:AB33"/>
    <mergeCell ref="AA14:AA17"/>
    <mergeCell ref="AB14:AB17"/>
    <mergeCell ref="AA18:AA19"/>
    <mergeCell ref="AA21:AA22"/>
    <mergeCell ref="AB21:AB22"/>
    <mergeCell ref="AB28:AB30"/>
    <mergeCell ref="U1:Y1"/>
    <mergeCell ref="X23:X27"/>
    <mergeCell ref="V14:V17"/>
    <mergeCell ref="V10:V13"/>
    <mergeCell ref="X10:X13"/>
    <mergeCell ref="Y10:Y13"/>
    <mergeCell ref="X14:X17"/>
    <mergeCell ref="Y14:Y17"/>
    <mergeCell ref="Z31:Z33"/>
    <mergeCell ref="B32:B33"/>
    <mergeCell ref="V32:V33"/>
    <mergeCell ref="Y28:Y29"/>
    <mergeCell ref="C31:C33"/>
    <mergeCell ref="D31:D33"/>
    <mergeCell ref="E31:E33"/>
    <mergeCell ref="F31:F33"/>
    <mergeCell ref="G31:G33"/>
    <mergeCell ref="X31:X33"/>
    <mergeCell ref="Y31:Y33"/>
    <mergeCell ref="B28:B30"/>
    <mergeCell ref="C28:C30"/>
    <mergeCell ref="D28:D30"/>
    <mergeCell ref="E28:E30"/>
    <mergeCell ref="F28:F30"/>
    <mergeCell ref="G28:G30"/>
    <mergeCell ref="V28:V30"/>
    <mergeCell ref="X28:X30"/>
    <mergeCell ref="D21:D22"/>
    <mergeCell ref="E21:E22"/>
    <mergeCell ref="F21:F22"/>
    <mergeCell ref="G21:G22"/>
    <mergeCell ref="Z25:Z27"/>
    <mergeCell ref="B23:B27"/>
    <mergeCell ref="C23:C27"/>
    <mergeCell ref="D23:D27"/>
    <mergeCell ref="E23:E27"/>
    <mergeCell ref="F23:F27"/>
    <mergeCell ref="G23:G27"/>
    <mergeCell ref="V23:V27"/>
    <mergeCell ref="Y25:Y27"/>
    <mergeCell ref="X21:X22"/>
    <mergeCell ref="X18:X19"/>
    <mergeCell ref="Y6:Y9"/>
    <mergeCell ref="Z1:AD1"/>
    <mergeCell ref="A1:H1"/>
    <mergeCell ref="I1:T1"/>
    <mergeCell ref="A4:A33"/>
    <mergeCell ref="B4:B5"/>
    <mergeCell ref="C4:C5"/>
    <mergeCell ref="D4:D5"/>
    <mergeCell ref="E4:E5"/>
    <mergeCell ref="F4:F5"/>
    <mergeCell ref="X4:X5"/>
    <mergeCell ref="Y4:Y5"/>
    <mergeCell ref="B6:B9"/>
    <mergeCell ref="C6:C9"/>
    <mergeCell ref="D6:D9"/>
    <mergeCell ref="E6:E9"/>
    <mergeCell ref="F6:F9"/>
    <mergeCell ref="G6:G9"/>
    <mergeCell ref="V6:V9"/>
    <mergeCell ref="X6:X9"/>
    <mergeCell ref="V21:V22"/>
    <mergeCell ref="B21:B22"/>
    <mergeCell ref="C21:C22"/>
    <mergeCell ref="B18:B19"/>
    <mergeCell ref="C18:C19"/>
    <mergeCell ref="D18:D19"/>
    <mergeCell ref="E18:E19"/>
    <mergeCell ref="F18:F19"/>
    <mergeCell ref="C14:C17"/>
    <mergeCell ref="D14:D17"/>
    <mergeCell ref="G18:G19"/>
    <mergeCell ref="V18:V19"/>
    <mergeCell ref="G4:G5"/>
    <mergeCell ref="B14:B17"/>
    <mergeCell ref="B10:B13"/>
    <mergeCell ref="C10:C13"/>
    <mergeCell ref="D10:D13"/>
    <mergeCell ref="E10:E13"/>
    <mergeCell ref="F10:F13"/>
    <mergeCell ref="G10:G13"/>
    <mergeCell ref="G14:G17"/>
    <mergeCell ref="E14:E17"/>
    <mergeCell ref="F14:F1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8"/>
    <pageSetUpPr fitToPage="1"/>
  </sheetPr>
  <dimension ref="A1:AN13"/>
  <sheetViews>
    <sheetView topLeftCell="C1" zoomScale="85" zoomScaleNormal="85" zoomScaleSheetLayoutView="85" workbookViewId="0">
      <pane xSplit="6" ySplit="3" topLeftCell="AH5" activePane="bottomRight" state="frozen"/>
      <selection activeCell="S8" sqref="S8:S9"/>
      <selection pane="topRight" activeCell="S8" sqref="S8:S9"/>
      <selection pane="bottomLeft" activeCell="S8" sqref="S8:S9"/>
      <selection pane="bottomRight" activeCell="AK12" sqref="AK12"/>
    </sheetView>
  </sheetViews>
  <sheetFormatPr baseColWidth="10" defaultColWidth="11.5703125" defaultRowHeight="15" x14ac:dyDescent="0.25"/>
  <cols>
    <col min="1" max="1" width="15.5703125" style="904" customWidth="1"/>
    <col min="2" max="2" width="18" style="905" customWidth="1"/>
    <col min="3" max="3" width="19.42578125" style="894" customWidth="1"/>
    <col min="4" max="4" width="10.5703125" style="886" customWidth="1"/>
    <col min="5" max="5" width="16.28515625" style="894" customWidth="1"/>
    <col min="6" max="6" width="25.5703125" style="894" customWidth="1"/>
    <col min="7" max="7" width="17.42578125" style="894" customWidth="1"/>
    <col min="8" max="8" width="46" style="895" customWidth="1"/>
    <col min="9" max="9" width="7" style="886" bestFit="1" customWidth="1"/>
    <col min="10" max="10" width="9"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10.28515625" style="886" hidden="1" customWidth="1"/>
    <col min="22" max="22" width="13.42578125" style="886" hidden="1" customWidth="1"/>
    <col min="23" max="23" width="65.28515625" style="886" hidden="1" customWidth="1"/>
    <col min="24" max="24" width="35.140625" style="886" hidden="1" customWidth="1"/>
    <col min="25" max="25" width="17.28515625" style="886" hidden="1" customWidth="1"/>
    <col min="26" max="26" width="18" style="886" hidden="1" customWidth="1"/>
    <col min="27" max="27" width="19.42578125" style="886" hidden="1" customWidth="1"/>
    <col min="28" max="28" width="53.28515625" style="886" hidden="1" customWidth="1"/>
    <col min="29" max="29" width="33.5703125" style="886" hidden="1" customWidth="1"/>
    <col min="30" max="30" width="17.28515625" style="886" customWidth="1"/>
    <col min="31" max="31" width="18" style="886" customWidth="1"/>
    <col min="32" max="32" width="19.42578125" style="886" customWidth="1"/>
    <col min="33" max="33" width="53.28515625" style="886" customWidth="1"/>
    <col min="34" max="34" width="33.5703125" style="886" customWidth="1"/>
    <col min="35" max="35" width="18.5703125" style="886" customWidth="1"/>
    <col min="36" max="36" width="11.5703125" style="886"/>
    <col min="37" max="37" width="29.5703125" style="886" customWidth="1"/>
    <col min="38" max="38" width="49.140625" style="886" customWidth="1"/>
    <col min="39" max="39" width="23" style="886" customWidth="1"/>
    <col min="40" max="16384" width="11.5703125" style="886"/>
  </cols>
  <sheetData>
    <row r="1" spans="1:40" ht="66.75" customHeight="1" x14ac:dyDescent="0.25">
      <c r="A1" s="2094" t="s">
        <v>2560</v>
      </c>
      <c r="B1" s="2094"/>
      <c r="C1" s="2094"/>
      <c r="D1" s="2094"/>
      <c r="E1" s="2094"/>
      <c r="F1" s="2094"/>
      <c r="G1" s="2094"/>
      <c r="H1" s="2094"/>
      <c r="I1" s="1939" t="s">
        <v>1351</v>
      </c>
      <c r="J1" s="1939"/>
      <c r="K1" s="1939"/>
      <c r="L1" s="1939"/>
      <c r="M1" s="1939"/>
      <c r="N1" s="1939"/>
      <c r="O1" s="1939"/>
      <c r="P1" s="1939"/>
      <c r="Q1" s="1939"/>
      <c r="R1" s="1939"/>
      <c r="S1" s="1939"/>
      <c r="T1" s="1939"/>
      <c r="U1" s="2267" t="s">
        <v>1970</v>
      </c>
      <c r="V1" s="2172"/>
      <c r="W1" s="2172"/>
      <c r="X1" s="2172"/>
      <c r="Y1" s="2173" t="s">
        <v>2138</v>
      </c>
      <c r="Z1" s="2172"/>
      <c r="AA1" s="2172"/>
      <c r="AB1" s="2172"/>
      <c r="AC1" s="2172"/>
      <c r="AD1" s="2173" t="s">
        <v>2631</v>
      </c>
      <c r="AE1" s="2172"/>
      <c r="AF1" s="2172"/>
      <c r="AG1" s="2172"/>
      <c r="AH1" s="2172"/>
      <c r="AI1" s="2173" t="s">
        <v>2871</v>
      </c>
      <c r="AJ1" s="2172"/>
      <c r="AK1" s="2172"/>
      <c r="AL1" s="2172"/>
      <c r="AM1" s="2172"/>
    </row>
    <row r="2" spans="1:40" ht="7.5" customHeight="1" x14ac:dyDescent="0.25">
      <c r="A2" s="900"/>
      <c r="B2" s="894"/>
      <c r="C2" s="807"/>
      <c r="D2" s="807"/>
      <c r="E2" s="807"/>
      <c r="F2" s="807"/>
      <c r="G2" s="808"/>
      <c r="H2" s="793"/>
    </row>
    <row r="3" spans="1:40" s="943" customFormat="1" ht="51.75" customHeight="1" x14ac:dyDescent="0.25">
      <c r="A3" s="777" t="s">
        <v>1221</v>
      </c>
      <c r="B3" s="777" t="s">
        <v>47</v>
      </c>
      <c r="C3" s="777" t="s">
        <v>1461</v>
      </c>
      <c r="D3" s="777" t="s">
        <v>1</v>
      </c>
      <c r="E3" s="777" t="s">
        <v>51</v>
      </c>
      <c r="F3" s="777" t="s">
        <v>2216</v>
      </c>
      <c r="G3" s="777" t="s">
        <v>3</v>
      </c>
      <c r="H3" s="809"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2028</v>
      </c>
      <c r="X3" s="928" t="s">
        <v>2029</v>
      </c>
      <c r="Y3" s="777" t="s">
        <v>1926</v>
      </c>
      <c r="Z3" s="777" t="s">
        <v>1927</v>
      </c>
      <c r="AA3" s="777" t="s">
        <v>2126</v>
      </c>
      <c r="AB3" s="777" t="s">
        <v>2159</v>
      </c>
      <c r="AC3" s="777" t="s">
        <v>1928</v>
      </c>
      <c r="AD3" s="1633" t="s">
        <v>1926</v>
      </c>
      <c r="AE3" s="1633" t="s">
        <v>1927</v>
      </c>
      <c r="AF3" s="1633" t="s">
        <v>2126</v>
      </c>
      <c r="AG3" s="1633" t="s">
        <v>2159</v>
      </c>
      <c r="AH3" s="1633" t="s">
        <v>1928</v>
      </c>
      <c r="AI3" s="1767" t="s">
        <v>1926</v>
      </c>
      <c r="AJ3" s="1767" t="s">
        <v>1927</v>
      </c>
      <c r="AK3" s="1767" t="s">
        <v>2126</v>
      </c>
      <c r="AL3" s="1767" t="s">
        <v>2159</v>
      </c>
      <c r="AM3" s="1767" t="s">
        <v>1928</v>
      </c>
    </row>
    <row r="4" spans="1:40" s="908" customFormat="1" ht="95.25" customHeight="1" x14ac:dyDescent="0.25">
      <c r="A4" s="2304"/>
      <c r="B4" s="1952" t="s">
        <v>1630</v>
      </c>
      <c r="C4" s="1986" t="s">
        <v>1631</v>
      </c>
      <c r="D4" s="1959">
        <v>0.85</v>
      </c>
      <c r="E4" s="1986" t="s">
        <v>1657</v>
      </c>
      <c r="F4" s="1986" t="s">
        <v>1804</v>
      </c>
      <c r="G4" s="1952" t="s">
        <v>264</v>
      </c>
      <c r="H4" s="957" t="s">
        <v>1632</v>
      </c>
      <c r="I4" s="1205" t="s">
        <v>1397</v>
      </c>
      <c r="J4" s="1206" t="s">
        <v>1397</v>
      </c>
      <c r="K4" s="1206" t="s">
        <v>1397</v>
      </c>
      <c r="L4" s="1206" t="s">
        <v>1397</v>
      </c>
      <c r="M4" s="1206" t="s">
        <v>1397</v>
      </c>
      <c r="N4" s="1206" t="s">
        <v>1397</v>
      </c>
      <c r="O4" s="1206" t="s">
        <v>1397</v>
      </c>
      <c r="P4" s="1206" t="s">
        <v>1397</v>
      </c>
      <c r="Q4" s="1206" t="s">
        <v>1397</v>
      </c>
      <c r="R4" s="1206" t="s">
        <v>1397</v>
      </c>
      <c r="S4" s="1206" t="s">
        <v>1397</v>
      </c>
      <c r="T4" s="1207" t="s">
        <v>1397</v>
      </c>
      <c r="U4" s="1215">
        <v>0.68</v>
      </c>
      <c r="V4" s="2306">
        <v>0.96</v>
      </c>
      <c r="W4" s="1336" t="s">
        <v>2356</v>
      </c>
      <c r="X4" s="2305" t="s">
        <v>2031</v>
      </c>
      <c r="Y4" s="1217">
        <v>0.88200000000000001</v>
      </c>
      <c r="Z4" s="1953">
        <v>0.85</v>
      </c>
      <c r="AA4" s="914"/>
      <c r="AB4" s="759" t="s">
        <v>2357</v>
      </c>
      <c r="AC4" s="914"/>
      <c r="AD4" s="1217">
        <v>0.98</v>
      </c>
      <c r="AE4" s="2156">
        <v>0.85</v>
      </c>
      <c r="AF4" s="1960" t="s">
        <v>2674</v>
      </c>
      <c r="AG4" s="759" t="s">
        <v>2675</v>
      </c>
      <c r="AH4" s="914"/>
      <c r="AI4" s="1768">
        <v>0.99</v>
      </c>
      <c r="AJ4" s="2156">
        <v>0.92569999999999997</v>
      </c>
      <c r="AK4" s="1960" t="s">
        <v>2674</v>
      </c>
      <c r="AL4" s="1770" t="s">
        <v>2891</v>
      </c>
      <c r="AM4" s="1960" t="s">
        <v>2898</v>
      </c>
    </row>
    <row r="5" spans="1:40" s="908" customFormat="1" ht="93" customHeight="1" x14ac:dyDescent="0.25">
      <c r="A5" s="2304"/>
      <c r="B5" s="1952"/>
      <c r="C5" s="1986"/>
      <c r="D5" s="1959"/>
      <c r="E5" s="2303"/>
      <c r="F5" s="2130"/>
      <c r="G5" s="1952"/>
      <c r="H5" s="957" t="s">
        <v>1633</v>
      </c>
      <c r="I5" s="1208" t="s">
        <v>1397</v>
      </c>
      <c r="J5" s="1043" t="s">
        <v>1397</v>
      </c>
      <c r="K5" s="1043" t="s">
        <v>1397</v>
      </c>
      <c r="L5" s="1043" t="s">
        <v>1397</v>
      </c>
      <c r="M5" s="1043" t="s">
        <v>1397</v>
      </c>
      <c r="N5" s="1043" t="s">
        <v>1397</v>
      </c>
      <c r="O5" s="1043" t="s">
        <v>1397</v>
      </c>
      <c r="P5" s="1043" t="s">
        <v>1397</v>
      </c>
      <c r="Q5" s="1043" t="s">
        <v>1397</v>
      </c>
      <c r="R5" s="1043" t="s">
        <v>1397</v>
      </c>
      <c r="S5" s="1043" t="s">
        <v>1397</v>
      </c>
      <c r="T5" s="1209" t="s">
        <v>1397</v>
      </c>
      <c r="U5" s="1215">
        <v>1</v>
      </c>
      <c r="V5" s="2306"/>
      <c r="W5" s="1336" t="s">
        <v>2358</v>
      </c>
      <c r="X5" s="2305"/>
      <c r="Y5" s="1217">
        <v>0.75</v>
      </c>
      <c r="Z5" s="1954"/>
      <c r="AA5" s="914"/>
      <c r="AB5" s="759" t="s">
        <v>2359</v>
      </c>
      <c r="AC5" s="914"/>
      <c r="AD5" s="1217">
        <v>1</v>
      </c>
      <c r="AE5" s="2157"/>
      <c r="AF5" s="1961"/>
      <c r="AG5" s="759" t="s">
        <v>2676</v>
      </c>
      <c r="AH5" s="914"/>
      <c r="AI5" s="1768">
        <v>0.87</v>
      </c>
      <c r="AJ5" s="2157"/>
      <c r="AK5" s="1961"/>
      <c r="AL5" s="1770" t="s">
        <v>2892</v>
      </c>
      <c r="AM5" s="1961"/>
    </row>
    <row r="6" spans="1:40" s="908" customFormat="1" ht="90" customHeight="1" x14ac:dyDescent="0.25">
      <c r="A6" s="2304"/>
      <c r="B6" s="1952"/>
      <c r="C6" s="1986"/>
      <c r="D6" s="1959"/>
      <c r="E6" s="2303"/>
      <c r="F6" s="2130"/>
      <c r="G6" s="1952"/>
      <c r="H6" s="957" t="s">
        <v>1634</v>
      </c>
      <c r="I6" s="1208" t="s">
        <v>1397</v>
      </c>
      <c r="J6" s="1043" t="s">
        <v>1397</v>
      </c>
      <c r="K6" s="1043" t="s">
        <v>1397</v>
      </c>
      <c r="L6" s="1043" t="s">
        <v>1397</v>
      </c>
      <c r="M6" s="1043" t="s">
        <v>1397</v>
      </c>
      <c r="N6" s="1043" t="s">
        <v>1397</v>
      </c>
      <c r="O6" s="1043" t="s">
        <v>1397</v>
      </c>
      <c r="P6" s="1043" t="s">
        <v>1397</v>
      </c>
      <c r="Q6" s="1043" t="s">
        <v>1397</v>
      </c>
      <c r="R6" s="1043" t="s">
        <v>1397</v>
      </c>
      <c r="S6" s="1043" t="s">
        <v>1397</v>
      </c>
      <c r="T6" s="1209" t="s">
        <v>1397</v>
      </c>
      <c r="U6" s="1215">
        <v>0.83</v>
      </c>
      <c r="V6" s="2306"/>
      <c r="W6" s="1336" t="s">
        <v>2360</v>
      </c>
      <c r="X6" s="2305"/>
      <c r="Y6" s="1217">
        <v>0.86409999999999998</v>
      </c>
      <c r="Z6" s="1954"/>
      <c r="AA6" s="914"/>
      <c r="AB6" s="759" t="s">
        <v>2361</v>
      </c>
      <c r="AC6" s="914"/>
      <c r="AD6" s="1217">
        <v>0.97</v>
      </c>
      <c r="AE6" s="2157"/>
      <c r="AF6" s="1961"/>
      <c r="AG6" s="759" t="s">
        <v>2677</v>
      </c>
      <c r="AH6" s="914"/>
      <c r="AI6" s="1768">
        <v>0.99</v>
      </c>
      <c r="AJ6" s="2157"/>
      <c r="AK6" s="1961"/>
      <c r="AL6" s="1770" t="s">
        <v>2893</v>
      </c>
      <c r="AM6" s="1961"/>
    </row>
    <row r="7" spans="1:40" s="908" customFormat="1" ht="78" customHeight="1" x14ac:dyDescent="0.25">
      <c r="A7" s="2304"/>
      <c r="B7" s="1952"/>
      <c r="C7" s="1986"/>
      <c r="D7" s="1959"/>
      <c r="E7" s="2303"/>
      <c r="F7" s="2130"/>
      <c r="G7" s="1952"/>
      <c r="H7" s="957" t="s">
        <v>1635</v>
      </c>
      <c r="I7" s="1208" t="s">
        <v>1397</v>
      </c>
      <c r="J7" s="1043" t="s">
        <v>1397</v>
      </c>
      <c r="K7" s="1043" t="s">
        <v>1397</v>
      </c>
      <c r="L7" s="1043" t="s">
        <v>1397</v>
      </c>
      <c r="M7" s="1043" t="s">
        <v>1397</v>
      </c>
      <c r="N7" s="1043" t="s">
        <v>1397</v>
      </c>
      <c r="O7" s="1043" t="s">
        <v>1397</v>
      </c>
      <c r="P7" s="1043" t="s">
        <v>1397</v>
      </c>
      <c r="Q7" s="1043" t="s">
        <v>1397</v>
      </c>
      <c r="R7" s="1043" t="s">
        <v>1397</v>
      </c>
      <c r="S7" s="1043" t="s">
        <v>1397</v>
      </c>
      <c r="T7" s="1209" t="s">
        <v>1397</v>
      </c>
      <c r="U7" s="1215">
        <v>1.33</v>
      </c>
      <c r="V7" s="2306"/>
      <c r="W7" s="1336" t="s">
        <v>2362</v>
      </c>
      <c r="X7" s="2305"/>
      <c r="Y7" s="1217">
        <v>1</v>
      </c>
      <c r="Z7" s="1954"/>
      <c r="AA7" s="914"/>
      <c r="AB7" s="759" t="s">
        <v>2363</v>
      </c>
      <c r="AC7" s="914"/>
      <c r="AD7" s="1217">
        <v>0.96</v>
      </c>
      <c r="AE7" s="2157"/>
      <c r="AF7" s="1962"/>
      <c r="AG7" s="759" t="s">
        <v>2678</v>
      </c>
      <c r="AH7" s="914"/>
      <c r="AI7" s="1768">
        <v>0.9</v>
      </c>
      <c r="AJ7" s="2157"/>
      <c r="AK7" s="1962"/>
      <c r="AL7" s="1770" t="s">
        <v>2894</v>
      </c>
      <c r="AM7" s="1961"/>
      <c r="AN7" s="1766"/>
    </row>
    <row r="8" spans="1:40" s="908" customFormat="1" ht="94.5" customHeight="1" x14ac:dyDescent="0.25">
      <c r="A8" s="2304"/>
      <c r="B8" s="1952"/>
      <c r="C8" s="1986"/>
      <c r="D8" s="1959"/>
      <c r="E8" s="2303"/>
      <c r="F8" s="2130"/>
      <c r="G8" s="1952"/>
      <c r="H8" s="957" t="s">
        <v>1658</v>
      </c>
      <c r="I8" s="1210"/>
      <c r="J8" s="1211"/>
      <c r="K8" s="1211"/>
      <c r="L8" s="1211" t="s">
        <v>1397</v>
      </c>
      <c r="M8" s="1211" t="s">
        <v>1397</v>
      </c>
      <c r="N8" s="1211" t="s">
        <v>1397</v>
      </c>
      <c r="O8" s="1211" t="s">
        <v>1397</v>
      </c>
      <c r="P8" s="1211" t="s">
        <v>1397</v>
      </c>
      <c r="Q8" s="1211" t="s">
        <v>1397</v>
      </c>
      <c r="R8" s="1211" t="s">
        <v>1397</v>
      </c>
      <c r="S8" s="1211" t="s">
        <v>1397</v>
      </c>
      <c r="T8" s="1212" t="s">
        <v>1397</v>
      </c>
      <c r="U8" s="1213" t="s">
        <v>353</v>
      </c>
      <c r="V8" s="1214"/>
      <c r="W8" s="1337" t="s">
        <v>2364</v>
      </c>
      <c r="X8" s="2305"/>
      <c r="Y8" s="1217">
        <v>0.75</v>
      </c>
      <c r="Z8" s="1954"/>
      <c r="AA8" s="914"/>
      <c r="AB8" s="759" t="s">
        <v>2365</v>
      </c>
      <c r="AC8" s="914"/>
      <c r="AD8" s="1217">
        <v>0.34</v>
      </c>
      <c r="AE8" s="2158"/>
      <c r="AF8" s="914" t="s">
        <v>2679</v>
      </c>
      <c r="AG8" s="759" t="s">
        <v>2680</v>
      </c>
      <c r="AH8" s="914"/>
      <c r="AI8" s="1768">
        <v>0.6</v>
      </c>
      <c r="AJ8" s="2158"/>
      <c r="AK8" s="1769" t="s">
        <v>2679</v>
      </c>
      <c r="AL8" s="1770" t="s">
        <v>2895</v>
      </c>
      <c r="AM8" s="1962"/>
    </row>
    <row r="9" spans="1:40" ht="75.75" customHeight="1" x14ac:dyDescent="0.25">
      <c r="A9" s="902" t="s">
        <v>2280</v>
      </c>
      <c r="B9" s="903"/>
      <c r="C9" s="891"/>
      <c r="D9" s="892"/>
      <c r="E9" s="891"/>
      <c r="F9" s="891"/>
      <c r="G9" s="891"/>
      <c r="H9" s="1145"/>
      <c r="I9" s="1006"/>
      <c r="J9" s="1007"/>
      <c r="K9" s="1007"/>
      <c r="L9" s="1007"/>
      <c r="M9" s="1007"/>
      <c r="N9" s="1007"/>
      <c r="O9" s="1007"/>
      <c r="P9" s="1007"/>
      <c r="Q9" s="1007"/>
      <c r="R9" s="1007"/>
      <c r="S9" s="1007"/>
      <c r="T9" s="1111"/>
      <c r="U9" s="902"/>
      <c r="V9" s="902"/>
      <c r="W9" s="1199" t="s">
        <v>2366</v>
      </c>
      <c r="X9" s="937"/>
      <c r="Y9" s="892"/>
      <c r="Z9" s="892"/>
      <c r="AA9" s="892"/>
      <c r="AB9" s="1216" t="s">
        <v>2367</v>
      </c>
      <c r="AC9" s="892"/>
      <c r="AD9" s="892"/>
      <c r="AE9" s="892"/>
      <c r="AF9" s="892"/>
      <c r="AG9" s="1216" t="s">
        <v>2367</v>
      </c>
      <c r="AH9" s="892"/>
      <c r="AI9" s="1772"/>
      <c r="AJ9" s="1765" t="s">
        <v>2896</v>
      </c>
      <c r="AK9" s="1772"/>
      <c r="AL9" s="1773" t="s">
        <v>2367</v>
      </c>
      <c r="AM9" s="1772"/>
    </row>
    <row r="10" spans="1:40" x14ac:dyDescent="0.25">
      <c r="A10" s="902"/>
      <c r="B10" s="903"/>
      <c r="C10" s="891"/>
      <c r="D10" s="892"/>
      <c r="E10" s="891"/>
      <c r="F10" s="891"/>
      <c r="G10" s="891"/>
      <c r="H10" s="1145"/>
      <c r="I10" s="1151"/>
      <c r="J10" s="1143"/>
      <c r="K10" s="1143"/>
      <c r="L10" s="1143"/>
      <c r="M10" s="1143"/>
      <c r="N10" s="1143"/>
      <c r="O10" s="1143"/>
      <c r="P10" s="1143"/>
      <c r="Q10" s="1143"/>
      <c r="R10" s="1143"/>
      <c r="S10" s="1143"/>
      <c r="T10" s="1144"/>
      <c r="U10" s="902"/>
      <c r="V10" s="902"/>
      <c r="W10" s="1200"/>
      <c r="Y10" s="892"/>
      <c r="Z10" s="892"/>
      <c r="AA10" s="892"/>
      <c r="AB10" s="892"/>
      <c r="AC10" s="892"/>
      <c r="AD10" s="892"/>
      <c r="AE10" s="892"/>
      <c r="AF10" s="892"/>
      <c r="AG10" s="892"/>
      <c r="AH10" s="892"/>
      <c r="AI10" s="892"/>
      <c r="AJ10" s="892"/>
      <c r="AK10" s="892"/>
      <c r="AL10" s="892"/>
      <c r="AM10" s="892"/>
    </row>
    <row r="11" spans="1:40" x14ac:dyDescent="0.25">
      <c r="U11" s="897" t="s">
        <v>1979</v>
      </c>
      <c r="V11" s="897" t="s">
        <v>1977</v>
      </c>
      <c r="W11" s="1201">
        <v>0.24</v>
      </c>
    </row>
    <row r="12" spans="1:40" x14ac:dyDescent="0.25">
      <c r="U12" s="897" t="s">
        <v>2030</v>
      </c>
      <c r="V12" s="897" t="s">
        <v>1970</v>
      </c>
      <c r="W12" s="1203"/>
      <c r="Y12" s="1202" t="s">
        <v>2401</v>
      </c>
      <c r="Z12" s="1380" t="s">
        <v>2396</v>
      </c>
      <c r="AD12" s="1202" t="s">
        <v>2401</v>
      </c>
      <c r="AE12" s="1380" t="s">
        <v>2396</v>
      </c>
      <c r="AI12" s="1202" t="s">
        <v>2401</v>
      </c>
      <c r="AJ12" s="1380" t="s">
        <v>2897</v>
      </c>
    </row>
    <row r="13" spans="1:40" x14ac:dyDescent="0.25">
      <c r="Y13" s="1202" t="s">
        <v>2424</v>
      </c>
      <c r="Z13" s="1204" t="s">
        <v>2376</v>
      </c>
      <c r="AA13" s="1472">
        <f>(85%*25%)</f>
        <v>0.21249999999999999</v>
      </c>
      <c r="AD13" s="1202" t="s">
        <v>2424</v>
      </c>
      <c r="AE13" s="1204" t="s">
        <v>2376</v>
      </c>
      <c r="AF13" s="1472">
        <f>(85%*25%)</f>
        <v>0.21249999999999999</v>
      </c>
      <c r="AI13" s="1202" t="s">
        <v>2421</v>
      </c>
      <c r="AJ13" s="1204" t="s">
        <v>2376</v>
      </c>
      <c r="AK13" s="1472">
        <f>(93%*25%)</f>
        <v>0.23250000000000001</v>
      </c>
    </row>
  </sheetData>
  <mergeCells count="21">
    <mergeCell ref="AI1:AM1"/>
    <mergeCell ref="AJ4:AJ8"/>
    <mergeCell ref="AK4:AK7"/>
    <mergeCell ref="AM4:AM8"/>
    <mergeCell ref="AD1:AH1"/>
    <mergeCell ref="AE4:AE8"/>
    <mergeCell ref="AF4:AF7"/>
    <mergeCell ref="X4:X8"/>
    <mergeCell ref="V4:V7"/>
    <mergeCell ref="I1:T1"/>
    <mergeCell ref="U1:X1"/>
    <mergeCell ref="Z4:Z8"/>
    <mergeCell ref="Y1:AC1"/>
    <mergeCell ref="A1:H1"/>
    <mergeCell ref="B4:B8"/>
    <mergeCell ref="C4:C8"/>
    <mergeCell ref="D4:D8"/>
    <mergeCell ref="E4:E8"/>
    <mergeCell ref="F4:F8"/>
    <mergeCell ref="G4:G8"/>
    <mergeCell ref="A4:A8"/>
  </mergeCells>
  <pageMargins left="0.70866141732283472" right="0.70866141732283472" top="0.74803149606299213" bottom="0.74803149606299213" header="0.31496062992125984" footer="0.31496062992125984"/>
  <pageSetup scale="2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pageSetUpPr fitToPage="1"/>
  </sheetPr>
  <dimension ref="A1:AL11"/>
  <sheetViews>
    <sheetView topLeftCell="C1" zoomScale="85" zoomScaleNormal="85" zoomScaleSheetLayoutView="85" workbookViewId="0">
      <pane xSplit="6" ySplit="3" topLeftCell="V4" activePane="bottomRight" state="frozen"/>
      <selection activeCell="S8" sqref="S8:S9"/>
      <selection pane="topRight" activeCell="S8" sqref="S8:S9"/>
      <selection pane="bottomLeft" activeCell="S8" sqref="S8:S9"/>
      <selection pane="bottomRight" activeCell="Y8" sqref="Y8"/>
    </sheetView>
  </sheetViews>
  <sheetFormatPr baseColWidth="10" defaultColWidth="11.5703125" defaultRowHeight="15" x14ac:dyDescent="0.25"/>
  <cols>
    <col min="1" max="1" width="15" style="904" customWidth="1"/>
    <col min="2" max="2" width="19.28515625" style="905" customWidth="1"/>
    <col min="3" max="3" width="23.5703125" style="894" customWidth="1"/>
    <col min="4" max="4" width="9" style="886" customWidth="1"/>
    <col min="5" max="5" width="14.42578125" style="894" customWidth="1"/>
    <col min="6" max="6" width="25.5703125" style="894" customWidth="1"/>
    <col min="7" max="7" width="18.5703125" style="894" customWidth="1"/>
    <col min="8" max="8" width="40.5703125" style="895" customWidth="1"/>
    <col min="9" max="9" width="7" style="886" bestFit="1" customWidth="1"/>
    <col min="10" max="10" width="9"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11.5703125" style="886" customWidth="1"/>
    <col min="22" max="22" width="18.7109375" style="886" customWidth="1"/>
    <col min="23" max="23" width="34.85546875" style="886" customWidth="1"/>
    <col min="24" max="24" width="15.85546875" style="886" customWidth="1"/>
    <col min="25" max="25" width="18.5703125" style="886" customWidth="1"/>
    <col min="26" max="26" width="24.5703125" style="886" customWidth="1"/>
    <col min="27" max="28" width="31" style="886" customWidth="1"/>
    <col min="29" max="29" width="15.85546875" style="886" customWidth="1"/>
    <col min="30" max="30" width="18.5703125" style="886" customWidth="1"/>
    <col min="31" max="31" width="24.5703125" style="886" customWidth="1"/>
    <col min="32" max="32" width="40.140625" style="886" customWidth="1"/>
    <col min="33" max="33" width="31" style="886" customWidth="1"/>
    <col min="34" max="36" width="11.5703125" style="886"/>
    <col min="37" max="37" width="31.42578125" style="886" customWidth="1"/>
    <col min="38" max="16384" width="11.5703125" style="886"/>
  </cols>
  <sheetData>
    <row r="1" spans="1:38" ht="60" customHeight="1" x14ac:dyDescent="0.25">
      <c r="A1" s="2070" t="s">
        <v>2561</v>
      </c>
      <c r="B1" s="2070"/>
      <c r="C1" s="2070"/>
      <c r="D1" s="2070"/>
      <c r="E1" s="2070"/>
      <c r="F1" s="2070"/>
      <c r="G1" s="2070"/>
      <c r="H1" s="2070"/>
      <c r="I1" s="2041" t="s">
        <v>1351</v>
      </c>
      <c r="J1" s="2042"/>
      <c r="K1" s="2042"/>
      <c r="L1" s="2042"/>
      <c r="M1" s="2042"/>
      <c r="N1" s="2042"/>
      <c r="O1" s="2042"/>
      <c r="P1" s="2042"/>
      <c r="Q1" s="2042"/>
      <c r="R1" s="2042"/>
      <c r="S1" s="2042"/>
      <c r="T1" s="2043"/>
      <c r="U1" s="2041" t="s">
        <v>1970</v>
      </c>
      <c r="V1" s="2042"/>
      <c r="W1" s="2043"/>
      <c r="X1" s="2267" t="s">
        <v>2138</v>
      </c>
      <c r="Y1" s="2172"/>
      <c r="Z1" s="2172"/>
      <c r="AA1" s="2172"/>
      <c r="AB1" s="2172"/>
      <c r="AC1" s="2267" t="s">
        <v>2630</v>
      </c>
      <c r="AD1" s="2172"/>
      <c r="AE1" s="2172"/>
      <c r="AF1" s="2172"/>
      <c r="AG1" s="2172"/>
      <c r="AH1" s="2267" t="s">
        <v>2871</v>
      </c>
      <c r="AI1" s="2172"/>
      <c r="AJ1" s="2172"/>
      <c r="AK1" s="2172"/>
      <c r="AL1" s="2172"/>
    </row>
    <row r="2" spans="1:38" ht="7.5" customHeight="1" x14ac:dyDescent="0.25">
      <c r="A2" s="1333"/>
      <c r="B2" s="1175"/>
      <c r="C2" s="807"/>
      <c r="D2" s="807"/>
      <c r="E2" s="807"/>
      <c r="F2" s="807"/>
      <c r="G2" s="808"/>
      <c r="H2" s="793"/>
      <c r="I2" s="899"/>
      <c r="J2" s="899"/>
      <c r="K2" s="899"/>
      <c r="L2" s="899"/>
      <c r="M2" s="899"/>
      <c r="N2" s="899"/>
      <c r="O2" s="899"/>
      <c r="P2" s="899"/>
      <c r="Q2" s="899"/>
      <c r="R2" s="899"/>
      <c r="S2" s="899"/>
      <c r="T2" s="1334"/>
    </row>
    <row r="3" spans="1:38" s="906" customFormat="1" ht="51.75" customHeight="1"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1972</v>
      </c>
      <c r="V3" s="779" t="s">
        <v>1927</v>
      </c>
      <c r="W3" s="779" t="s">
        <v>1973</v>
      </c>
      <c r="X3" s="777" t="s">
        <v>1926</v>
      </c>
      <c r="Y3" s="777" t="s">
        <v>1927</v>
      </c>
      <c r="Z3" s="777" t="s">
        <v>2126</v>
      </c>
      <c r="AA3" s="777" t="s">
        <v>2159</v>
      </c>
      <c r="AB3" s="777" t="s">
        <v>1928</v>
      </c>
      <c r="AC3" s="1633" t="s">
        <v>1926</v>
      </c>
      <c r="AD3" s="1633" t="s">
        <v>1927</v>
      </c>
      <c r="AE3" s="1633" t="s">
        <v>2126</v>
      </c>
      <c r="AF3" s="1633" t="s">
        <v>2159</v>
      </c>
      <c r="AG3" s="1633" t="s">
        <v>1928</v>
      </c>
      <c r="AH3" s="1633" t="s">
        <v>1926</v>
      </c>
      <c r="AI3" s="1633" t="s">
        <v>1927</v>
      </c>
      <c r="AJ3" s="1633" t="s">
        <v>2126</v>
      </c>
      <c r="AK3" s="1633" t="s">
        <v>2159</v>
      </c>
      <c r="AL3" s="1633" t="s">
        <v>1928</v>
      </c>
    </row>
    <row r="4" spans="1:38" ht="84.75" customHeight="1" x14ac:dyDescent="0.25">
      <c r="A4" s="2309"/>
      <c r="B4" s="2021" t="s">
        <v>1630</v>
      </c>
      <c r="C4" s="2021" t="s">
        <v>1637</v>
      </c>
      <c r="D4" s="2134">
        <v>0.85</v>
      </c>
      <c r="E4" s="1986" t="s">
        <v>1974</v>
      </c>
      <c r="F4" s="1986" t="s">
        <v>2349</v>
      </c>
      <c r="G4" s="1952" t="s">
        <v>1725</v>
      </c>
      <c r="H4" s="967" t="s">
        <v>1659</v>
      </c>
      <c r="I4" s="1048" t="s">
        <v>1397</v>
      </c>
      <c r="J4" s="1049" t="s">
        <v>1397</v>
      </c>
      <c r="K4" s="1049" t="s">
        <v>1397</v>
      </c>
      <c r="L4" s="1049" t="s">
        <v>1397</v>
      </c>
      <c r="M4" s="1049" t="s">
        <v>1397</v>
      </c>
      <c r="N4" s="1049" t="s">
        <v>1397</v>
      </c>
      <c r="O4" s="1049" t="s">
        <v>1397</v>
      </c>
      <c r="P4" s="1049" t="s">
        <v>1397</v>
      </c>
      <c r="Q4" s="1049" t="s">
        <v>1397</v>
      </c>
      <c r="R4" s="1049" t="s">
        <v>1397</v>
      </c>
      <c r="S4" s="1049" t="s">
        <v>1397</v>
      </c>
      <c r="T4" s="1049" t="s">
        <v>1397</v>
      </c>
      <c r="U4" s="1330">
        <v>1</v>
      </c>
      <c r="V4" s="2307">
        <v>0.98</v>
      </c>
      <c r="W4" s="889" t="s">
        <v>1975</v>
      </c>
      <c r="X4" s="1597">
        <v>1</v>
      </c>
      <c r="Y4" s="2312">
        <v>0.94</v>
      </c>
      <c r="Z4" s="1598" t="s">
        <v>2604</v>
      </c>
      <c r="AA4" s="1598" t="s">
        <v>2605</v>
      </c>
      <c r="AB4" s="892"/>
      <c r="AC4" s="1597">
        <v>1</v>
      </c>
      <c r="AD4" s="2312">
        <v>0.73</v>
      </c>
      <c r="AE4" s="1598" t="s">
        <v>2604</v>
      </c>
      <c r="AF4" s="1598" t="s">
        <v>2683</v>
      </c>
      <c r="AG4" s="892"/>
      <c r="AH4" s="1597">
        <v>1</v>
      </c>
      <c r="AI4" s="2312">
        <v>0.98</v>
      </c>
      <c r="AJ4" s="1598" t="s">
        <v>2604</v>
      </c>
      <c r="AK4" s="1598" t="s">
        <v>2905</v>
      </c>
      <c r="AL4" s="1772"/>
    </row>
    <row r="5" spans="1:38" ht="409.5" customHeight="1" x14ac:dyDescent="0.25">
      <c r="A5" s="2310"/>
      <c r="B5" s="2022"/>
      <c r="C5" s="2022"/>
      <c r="D5" s="2311"/>
      <c r="E5" s="1986"/>
      <c r="F5" s="1986"/>
      <c r="G5" s="1952"/>
      <c r="H5" s="967" t="s">
        <v>1976</v>
      </c>
      <c r="I5" s="1053" t="s">
        <v>4</v>
      </c>
      <c r="J5" s="1054" t="s">
        <v>4</v>
      </c>
      <c r="K5" s="1054" t="s">
        <v>4</v>
      </c>
      <c r="L5" s="1054" t="s">
        <v>4</v>
      </c>
      <c r="M5" s="1054" t="s">
        <v>4</v>
      </c>
      <c r="N5" s="1054" t="s">
        <v>4</v>
      </c>
      <c r="O5" s="1054" t="s">
        <v>4</v>
      </c>
      <c r="P5" s="1054" t="s">
        <v>4</v>
      </c>
      <c r="Q5" s="1054" t="s">
        <v>4</v>
      </c>
      <c r="R5" s="1054" t="s">
        <v>4</v>
      </c>
      <c r="S5" s="1054" t="s">
        <v>4</v>
      </c>
      <c r="T5" s="1054" t="s">
        <v>4</v>
      </c>
      <c r="U5" s="1331">
        <v>0.96</v>
      </c>
      <c r="V5" s="2308"/>
      <c r="W5" s="759" t="s">
        <v>2368</v>
      </c>
      <c r="X5" s="1599">
        <v>0.87</v>
      </c>
      <c r="Y5" s="2313"/>
      <c r="Z5" s="1598" t="s">
        <v>2604</v>
      </c>
      <c r="AA5" s="1598" t="s">
        <v>2606</v>
      </c>
      <c r="AB5" s="892"/>
      <c r="AC5" s="1719">
        <v>0.46</v>
      </c>
      <c r="AD5" s="2313"/>
      <c r="AE5" s="1598" t="s">
        <v>2604</v>
      </c>
      <c r="AF5" s="1598" t="s">
        <v>2685</v>
      </c>
      <c r="AG5" s="892"/>
      <c r="AH5" s="1719">
        <v>0.89</v>
      </c>
      <c r="AI5" s="2313"/>
      <c r="AJ5" s="1598" t="s">
        <v>2604</v>
      </c>
      <c r="AK5" s="1598" t="s">
        <v>2907</v>
      </c>
      <c r="AL5" s="1772"/>
    </row>
    <row r="6" spans="1:38" x14ac:dyDescent="0.25">
      <c r="A6" s="902" t="s">
        <v>2280</v>
      </c>
      <c r="B6" s="903"/>
      <c r="C6" s="891"/>
      <c r="D6" s="892"/>
      <c r="E6" s="891"/>
      <c r="F6" s="891"/>
      <c r="G6" s="891"/>
      <c r="H6" s="1145"/>
    </row>
    <row r="7" spans="1:38" x14ac:dyDescent="0.25">
      <c r="A7" s="902"/>
      <c r="B7" s="903"/>
      <c r="C7" s="891"/>
      <c r="D7" s="892"/>
      <c r="E7" s="891"/>
      <c r="F7" s="891"/>
      <c r="G7" s="891"/>
      <c r="H7" s="1145"/>
    </row>
    <row r="8" spans="1:38" x14ac:dyDescent="0.25">
      <c r="U8" s="897" t="s">
        <v>1979</v>
      </c>
      <c r="V8" s="897" t="s">
        <v>1977</v>
      </c>
      <c r="W8" s="1335"/>
      <c r="X8" s="1202" t="s">
        <v>2400</v>
      </c>
      <c r="Y8" s="1380" t="s">
        <v>2528</v>
      </c>
      <c r="AC8" s="1202" t="s">
        <v>2400</v>
      </c>
      <c r="AD8" s="1380" t="s">
        <v>2396</v>
      </c>
      <c r="AH8" s="1202" t="s">
        <v>2400</v>
      </c>
      <c r="AI8" s="1380" t="s">
        <v>2897</v>
      </c>
    </row>
    <row r="9" spans="1:38" x14ac:dyDescent="0.25">
      <c r="U9" s="897" t="s">
        <v>1978</v>
      </c>
      <c r="V9" s="897" t="s">
        <v>1970</v>
      </c>
      <c r="W9" s="1836">
        <f>98%*25%</f>
        <v>0.245</v>
      </c>
      <c r="X9" s="1202" t="s">
        <v>2425</v>
      </c>
      <c r="Y9" s="1204" t="s">
        <v>2371</v>
      </c>
      <c r="Z9" s="1472">
        <f>(94%*25%)</f>
        <v>0.23499999999999999</v>
      </c>
      <c r="AC9" s="1202" t="s">
        <v>2684</v>
      </c>
      <c r="AD9" s="1204" t="s">
        <v>2371</v>
      </c>
      <c r="AE9" s="1472">
        <f>73%*0.25</f>
        <v>0.1825</v>
      </c>
      <c r="AF9" s="1720">
        <f>(28*85)/100</f>
        <v>23.8</v>
      </c>
      <c r="AG9" s="1720"/>
      <c r="AH9" s="1202" t="s">
        <v>2906</v>
      </c>
      <c r="AI9" s="1204" t="s">
        <v>2371</v>
      </c>
      <c r="AJ9" s="1472">
        <f>98%*0.25</f>
        <v>0.245</v>
      </c>
      <c r="AK9" s="1720">
        <f>(28*85)/100</f>
        <v>23.8</v>
      </c>
      <c r="AL9" s="1720"/>
    </row>
    <row r="10" spans="1:38" x14ac:dyDescent="0.25">
      <c r="AF10" s="1720"/>
      <c r="AG10" s="1720"/>
      <c r="AH10" s="1720"/>
    </row>
    <row r="11" spans="1:38" x14ac:dyDescent="0.25">
      <c r="U11" s="910"/>
      <c r="V11" s="1837"/>
      <c r="AF11" s="1721">
        <f>11/24</f>
        <v>0.45833333333333331</v>
      </c>
      <c r="AG11" s="1721">
        <f>11/28</f>
        <v>0.39285714285714285</v>
      </c>
      <c r="AH11" s="1720"/>
    </row>
  </sheetData>
  <mergeCells count="17">
    <mergeCell ref="AH1:AL1"/>
    <mergeCell ref="AI4:AI5"/>
    <mergeCell ref="AC1:AG1"/>
    <mergeCell ref="AD4:AD5"/>
    <mergeCell ref="X1:AB1"/>
    <mergeCell ref="Y4:Y5"/>
    <mergeCell ref="F4:F5"/>
    <mergeCell ref="V4:V5"/>
    <mergeCell ref="U1:W1"/>
    <mergeCell ref="G4:G5"/>
    <mergeCell ref="A4:A5"/>
    <mergeCell ref="I1:T1"/>
    <mergeCell ref="A1:H1"/>
    <mergeCell ref="B4:B5"/>
    <mergeCell ref="C4:C5"/>
    <mergeCell ref="D4:D5"/>
    <mergeCell ref="E4:E5"/>
  </mergeCells>
  <pageMargins left="0.70866141732283472" right="0.70866141732283472" top="0.74803149606299213" bottom="0.74803149606299213" header="0.31496062992125984" footer="0.31496062992125984"/>
  <pageSetup scale="29"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Z224"/>
  <sheetViews>
    <sheetView view="pageBreakPreview" zoomScale="85" zoomScaleNormal="85" zoomScaleSheetLayoutView="85" workbookViewId="0">
      <pane xSplit="1" ySplit="3" topLeftCell="B83" activePane="bottomRight" state="frozen"/>
      <selection pane="topRight" activeCell="B1" sqref="B1"/>
      <selection pane="bottomLeft" activeCell="A4" sqref="A4"/>
      <selection pane="bottomRight" activeCell="E94" sqref="E94:E96"/>
    </sheetView>
  </sheetViews>
  <sheetFormatPr baseColWidth="10" defaultColWidth="11.5703125" defaultRowHeight="14.25" x14ac:dyDescent="0.2"/>
  <cols>
    <col min="1" max="1" width="28.140625" style="568" customWidth="1"/>
    <col min="2" max="2" width="23.7109375" style="619" customWidth="1"/>
    <col min="3" max="3" width="38.28515625" style="16" customWidth="1"/>
    <col min="4" max="4" width="23.7109375" style="611" customWidth="1"/>
    <col min="5" max="5" width="23.7109375" style="673" customWidth="1"/>
    <col min="6" max="6" width="25.5703125" style="673" customWidth="1"/>
    <col min="7" max="7" width="23.7109375" style="673" customWidth="1"/>
    <col min="8" max="8" width="65.42578125" style="618" customWidth="1"/>
    <col min="9" max="9" width="23.5703125" style="611" hidden="1" customWidth="1"/>
    <col min="10" max="10" width="19.85546875" style="611" hidden="1" customWidth="1"/>
    <col min="11" max="12" width="11.5703125" style="611" customWidth="1"/>
    <col min="13" max="14" width="11.42578125" style="611" customWidth="1"/>
    <col min="15" max="15" width="15.28515625" style="611" customWidth="1"/>
    <col min="16" max="18" width="11.5703125" style="611" customWidth="1"/>
    <col min="19" max="19" width="14.85546875" style="611" customWidth="1"/>
    <col min="20" max="20" width="11.5703125" style="611" customWidth="1"/>
    <col min="21" max="21" width="14.85546875" style="611" customWidth="1"/>
    <col min="22" max="22" width="13.42578125" style="611" customWidth="1"/>
    <col min="23" max="24" width="11.5703125" style="611" customWidth="1"/>
    <col min="25" max="25" width="14.5703125" style="611" customWidth="1"/>
    <col min="26" max="16384" width="11.5703125" style="611"/>
  </cols>
  <sheetData>
    <row r="1" spans="1:25" ht="53.25" customHeight="1" thickTop="1" thickBot="1" x14ac:dyDescent="0.25">
      <c r="A1" s="1914" t="s">
        <v>1460</v>
      </c>
      <c r="B1" s="1914"/>
      <c r="C1" s="1914"/>
      <c r="D1" s="1914"/>
      <c r="E1" s="1914"/>
      <c r="F1" s="1914"/>
      <c r="G1" s="1914"/>
      <c r="H1" s="609"/>
      <c r="I1" s="610"/>
      <c r="K1" s="1917" t="s">
        <v>1351</v>
      </c>
      <c r="L1" s="1918"/>
      <c r="M1" s="1918"/>
      <c r="N1" s="1918"/>
      <c r="O1" s="1918"/>
      <c r="P1" s="1918"/>
      <c r="Q1" s="1918"/>
      <c r="R1" s="1918"/>
      <c r="S1" s="1918"/>
      <c r="T1" s="1918"/>
      <c r="U1" s="1918"/>
      <c r="V1" s="1918"/>
    </row>
    <row r="2" spans="1:25" ht="15.75" thickTop="1" x14ac:dyDescent="0.2">
      <c r="A2" s="338"/>
      <c r="B2" s="16"/>
      <c r="C2" s="2"/>
      <c r="D2" s="2"/>
      <c r="E2" s="2"/>
      <c r="F2" s="2"/>
      <c r="G2" s="674"/>
      <c r="H2" s="612"/>
      <c r="I2" s="2"/>
    </row>
    <row r="3" spans="1:25" s="734" customFormat="1" ht="53.25" customHeight="1" x14ac:dyDescent="0.2">
      <c r="A3" s="738" t="s">
        <v>1221</v>
      </c>
      <c r="B3" s="738" t="s">
        <v>47</v>
      </c>
      <c r="C3" s="741" t="s">
        <v>1461</v>
      </c>
      <c r="D3" s="741" t="s">
        <v>1</v>
      </c>
      <c r="E3" s="741" t="s">
        <v>51</v>
      </c>
      <c r="F3" s="741" t="s">
        <v>2</v>
      </c>
      <c r="G3" s="742" t="s">
        <v>3</v>
      </c>
      <c r="H3" s="741" t="s">
        <v>1291</v>
      </c>
      <c r="I3" s="757"/>
      <c r="J3" s="757"/>
      <c r="K3" s="739" t="s">
        <v>1352</v>
      </c>
      <c r="L3" s="739" t="s">
        <v>1353</v>
      </c>
      <c r="M3" s="739" t="s">
        <v>1354</v>
      </c>
      <c r="N3" s="739" t="s">
        <v>1355</v>
      </c>
      <c r="O3" s="739" t="s">
        <v>1356</v>
      </c>
      <c r="P3" s="739" t="s">
        <v>1357</v>
      </c>
      <c r="Q3" s="739" t="s">
        <v>1358</v>
      </c>
      <c r="R3" s="739" t="s">
        <v>1359</v>
      </c>
      <c r="S3" s="739" t="s">
        <v>1360</v>
      </c>
      <c r="T3" s="739" t="s">
        <v>1361</v>
      </c>
      <c r="U3" s="739" t="s">
        <v>1362</v>
      </c>
      <c r="V3" s="739" t="s">
        <v>1363</v>
      </c>
      <c r="Y3" s="734" t="s">
        <v>2094</v>
      </c>
    </row>
    <row r="4" spans="1:25" s="680" customFormat="1" ht="12.75" x14ac:dyDescent="0.2">
      <c r="A4" s="1919" t="s">
        <v>1547</v>
      </c>
      <c r="B4" s="1922" t="s">
        <v>374</v>
      </c>
      <c r="C4" s="1922" t="s">
        <v>1761</v>
      </c>
      <c r="D4" s="1922" t="s">
        <v>1763</v>
      </c>
      <c r="E4" s="1922" t="s">
        <v>1764</v>
      </c>
      <c r="F4" s="1922" t="s">
        <v>1792</v>
      </c>
      <c r="G4" s="1922" t="s">
        <v>1789</v>
      </c>
      <c r="H4" s="681" t="s">
        <v>1738</v>
      </c>
      <c r="I4" s="676"/>
      <c r="J4" s="677"/>
      <c r="K4" s="678"/>
      <c r="L4" s="678"/>
      <c r="M4" s="678"/>
      <c r="N4" s="678"/>
      <c r="O4" s="678"/>
      <c r="P4" s="678"/>
      <c r="Q4" s="678"/>
      <c r="R4" s="678"/>
      <c r="S4" s="678"/>
      <c r="T4" s="678"/>
      <c r="U4" s="678"/>
      <c r="V4" s="679"/>
    </row>
    <row r="5" spans="1:25" s="680" customFormat="1" ht="25.5" x14ac:dyDescent="0.2">
      <c r="A5" s="1920"/>
      <c r="B5" s="1923"/>
      <c r="C5" s="1923"/>
      <c r="D5" s="1923"/>
      <c r="E5" s="1923"/>
      <c r="F5" s="1923"/>
      <c r="G5" s="1923"/>
      <c r="H5" s="681" t="s">
        <v>1793</v>
      </c>
      <c r="I5" s="676"/>
      <c r="J5" s="677"/>
      <c r="K5" s="678"/>
      <c r="L5" s="678"/>
      <c r="M5" s="678"/>
      <c r="N5" s="678"/>
      <c r="O5" s="678"/>
      <c r="P5" s="678"/>
      <c r="Q5" s="678"/>
      <c r="R5" s="678"/>
      <c r="S5" s="678"/>
      <c r="T5" s="678"/>
      <c r="U5" s="678"/>
      <c r="V5" s="679"/>
    </row>
    <row r="6" spans="1:25" s="680" customFormat="1" ht="25.5" x14ac:dyDescent="0.2">
      <c r="A6" s="1920"/>
      <c r="B6" s="1923"/>
      <c r="C6" s="1923"/>
      <c r="D6" s="1923"/>
      <c r="E6" s="1923"/>
      <c r="F6" s="1923"/>
      <c r="G6" s="1923"/>
      <c r="H6" s="681" t="s">
        <v>1794</v>
      </c>
      <c r="I6" s="676"/>
      <c r="J6" s="677"/>
      <c r="K6" s="678"/>
      <c r="L6" s="678"/>
      <c r="M6" s="678"/>
      <c r="N6" s="678"/>
      <c r="O6" s="678"/>
      <c r="P6" s="678"/>
      <c r="Q6" s="678"/>
      <c r="R6" s="678"/>
      <c r="S6" s="678"/>
      <c r="T6" s="678"/>
      <c r="U6" s="678"/>
      <c r="V6" s="679"/>
    </row>
    <row r="7" spans="1:25" s="680" customFormat="1" ht="25.5" x14ac:dyDescent="0.2">
      <c r="A7" s="1920"/>
      <c r="B7" s="1923"/>
      <c r="C7" s="1923"/>
      <c r="D7" s="1923"/>
      <c r="E7" s="1923"/>
      <c r="F7" s="1923"/>
      <c r="G7" s="1923"/>
      <c r="H7" s="681" t="s">
        <v>1748</v>
      </c>
      <c r="I7" s="676"/>
      <c r="J7" s="677"/>
      <c r="K7" s="678"/>
      <c r="L7" s="678"/>
      <c r="M7" s="678"/>
      <c r="N7" s="678"/>
      <c r="O7" s="678"/>
      <c r="P7" s="678"/>
      <c r="Q7" s="678"/>
      <c r="R7" s="678"/>
      <c r="S7" s="678"/>
      <c r="T7" s="678"/>
      <c r="U7" s="678"/>
      <c r="V7" s="679"/>
    </row>
    <row r="8" spans="1:25" s="680" customFormat="1" ht="38.25" x14ac:dyDescent="0.2">
      <c r="A8" s="1920"/>
      <c r="B8" s="1923"/>
      <c r="C8" s="1923"/>
      <c r="D8" s="1923"/>
      <c r="E8" s="1923"/>
      <c r="F8" s="1923"/>
      <c r="G8" s="1923"/>
      <c r="H8" s="681" t="s">
        <v>1795</v>
      </c>
      <c r="I8" s="676"/>
      <c r="J8" s="677"/>
      <c r="K8" s="678"/>
      <c r="L8" s="678"/>
      <c r="M8" s="678"/>
      <c r="N8" s="678"/>
      <c r="O8" s="678"/>
      <c r="P8" s="678"/>
      <c r="Q8" s="678"/>
      <c r="R8" s="678"/>
      <c r="S8" s="678"/>
      <c r="T8" s="678"/>
      <c r="U8" s="678"/>
      <c r="V8" s="679"/>
    </row>
    <row r="9" spans="1:25" s="680" customFormat="1" ht="13.5" thickBot="1" x14ac:dyDescent="0.25">
      <c r="A9" s="1921"/>
      <c r="B9" s="1924"/>
      <c r="C9" s="1924"/>
      <c r="D9" s="1924"/>
      <c r="E9" s="1924"/>
      <c r="F9" s="1924"/>
      <c r="G9" s="1924"/>
      <c r="H9" s="681" t="s">
        <v>1762</v>
      </c>
      <c r="I9" s="676"/>
      <c r="J9" s="677"/>
      <c r="K9" s="678"/>
      <c r="L9" s="678"/>
      <c r="M9" s="678"/>
      <c r="N9" s="678"/>
      <c r="O9" s="678"/>
      <c r="P9" s="678"/>
      <c r="Q9" s="678"/>
      <c r="R9" s="678"/>
      <c r="S9" s="678"/>
      <c r="T9" s="678"/>
      <c r="U9" s="678"/>
      <c r="V9" s="679"/>
    </row>
    <row r="10" spans="1:25" s="9" customFormat="1" ht="13.5" thickBot="1" x14ac:dyDescent="0.25">
      <c r="A10" s="1887" t="s">
        <v>1479</v>
      </c>
      <c r="B10" s="1848" t="s">
        <v>374</v>
      </c>
      <c r="C10" s="1915" t="s">
        <v>1513</v>
      </c>
      <c r="D10" s="1916" t="s">
        <v>1516</v>
      </c>
      <c r="E10" s="1913" t="s">
        <v>1541</v>
      </c>
      <c r="F10" s="1866" t="s">
        <v>1486</v>
      </c>
      <c r="G10" s="1848" t="s">
        <v>1640</v>
      </c>
      <c r="H10" s="656" t="s">
        <v>1514</v>
      </c>
      <c r="I10" s="633">
        <v>43465</v>
      </c>
      <c r="J10" s="568"/>
      <c r="K10" s="569"/>
      <c r="L10" s="570"/>
      <c r="M10" s="570"/>
      <c r="N10" s="570"/>
      <c r="O10" s="570"/>
      <c r="P10" s="570"/>
      <c r="Q10" s="570"/>
      <c r="R10" s="570"/>
      <c r="S10" s="570"/>
      <c r="T10" s="570"/>
      <c r="U10" s="570"/>
      <c r="V10" s="571"/>
    </row>
    <row r="11" spans="1:25" s="9" customFormat="1" ht="26.25" thickBot="1" x14ac:dyDescent="0.25">
      <c r="A11" s="1887"/>
      <c r="B11" s="1848"/>
      <c r="C11" s="1915"/>
      <c r="D11" s="1916"/>
      <c r="E11" s="1913"/>
      <c r="F11" s="1866"/>
      <c r="G11" s="1848"/>
      <c r="H11" s="656" t="s">
        <v>1641</v>
      </c>
      <c r="I11" s="633">
        <v>43465</v>
      </c>
      <c r="J11" s="568"/>
      <c r="K11" s="572"/>
      <c r="L11" s="573"/>
      <c r="M11" s="573"/>
      <c r="N11" s="573"/>
      <c r="O11" s="573"/>
      <c r="P11" s="573"/>
      <c r="Q11" s="573"/>
      <c r="R11" s="573"/>
      <c r="S11" s="573"/>
      <c r="T11" s="573"/>
      <c r="U11" s="573"/>
      <c r="V11" s="574"/>
    </row>
    <row r="12" spans="1:25" s="9" customFormat="1" ht="26.25" thickBot="1" x14ac:dyDescent="0.25">
      <c r="A12" s="1887"/>
      <c r="B12" s="1848"/>
      <c r="C12" s="1915"/>
      <c r="D12" s="1916"/>
      <c r="E12" s="1913"/>
      <c r="F12" s="1866"/>
      <c r="G12" s="1848"/>
      <c r="H12" s="656" t="s">
        <v>1515</v>
      </c>
      <c r="I12" s="633">
        <v>43465</v>
      </c>
      <c r="J12" s="568"/>
      <c r="K12" s="572"/>
      <c r="L12" s="573"/>
      <c r="M12" s="573"/>
      <c r="N12" s="573"/>
      <c r="O12" s="573"/>
      <c r="P12" s="573"/>
      <c r="Q12" s="573"/>
      <c r="R12" s="573"/>
      <c r="S12" s="573"/>
      <c r="T12" s="573"/>
      <c r="U12" s="573"/>
      <c r="V12" s="574"/>
    </row>
    <row r="13" spans="1:25" s="9" customFormat="1" ht="13.5" thickBot="1" x14ac:dyDescent="0.25">
      <c r="A13" s="1887"/>
      <c r="B13" s="1848"/>
      <c r="C13" s="1915"/>
      <c r="D13" s="1916"/>
      <c r="E13" s="1913"/>
      <c r="F13" s="1866"/>
      <c r="G13" s="1848"/>
      <c r="H13" s="656" t="s">
        <v>1517</v>
      </c>
      <c r="I13" s="633">
        <v>43465</v>
      </c>
      <c r="J13" s="568"/>
      <c r="K13" s="575"/>
      <c r="L13" s="576"/>
      <c r="M13" s="576"/>
      <c r="N13" s="576"/>
      <c r="O13" s="576"/>
      <c r="P13" s="576"/>
      <c r="Q13" s="576"/>
      <c r="R13" s="576"/>
      <c r="S13" s="576"/>
      <c r="T13" s="576"/>
      <c r="U13" s="576"/>
      <c r="V13" s="577"/>
    </row>
    <row r="14" spans="1:25" s="9" customFormat="1" ht="13.5" thickBot="1" x14ac:dyDescent="0.25">
      <c r="A14" s="1887" t="s">
        <v>1642</v>
      </c>
      <c r="B14" s="1848" t="s">
        <v>374</v>
      </c>
      <c r="C14" s="1898" t="s">
        <v>1484</v>
      </c>
      <c r="D14" s="1899" t="s">
        <v>1485</v>
      </c>
      <c r="E14" s="1899" t="s">
        <v>1227</v>
      </c>
      <c r="F14" s="1899" t="s">
        <v>1486</v>
      </c>
      <c r="G14" s="1865" t="s">
        <v>1643</v>
      </c>
      <c r="H14" s="656" t="s">
        <v>1542</v>
      </c>
      <c r="I14" s="633">
        <v>43131</v>
      </c>
      <c r="J14" s="338" t="s">
        <v>1229</v>
      </c>
      <c r="K14" s="579"/>
      <c r="L14" s="580"/>
      <c r="M14" s="580"/>
      <c r="N14" s="580"/>
      <c r="O14" s="580"/>
      <c r="P14" s="580"/>
      <c r="Q14" s="580"/>
      <c r="R14" s="580"/>
      <c r="S14" s="580"/>
      <c r="T14" s="580"/>
      <c r="U14" s="580"/>
      <c r="V14" s="571"/>
      <c r="Y14" s="1850" t="s">
        <v>2095</v>
      </c>
    </row>
    <row r="15" spans="1:25" s="9" customFormat="1" ht="13.5" thickBot="1" x14ac:dyDescent="0.25">
      <c r="A15" s="1887"/>
      <c r="B15" s="1848"/>
      <c r="C15" s="1898"/>
      <c r="D15" s="1899"/>
      <c r="E15" s="1899"/>
      <c r="F15" s="1899"/>
      <c r="G15" s="1865"/>
      <c r="H15" s="656" t="s">
        <v>1644</v>
      </c>
      <c r="I15" s="633">
        <v>43131</v>
      </c>
      <c r="J15" s="568"/>
      <c r="K15" s="572"/>
      <c r="L15" s="573"/>
      <c r="M15" s="573"/>
      <c r="N15" s="573"/>
      <c r="O15" s="573"/>
      <c r="P15" s="573"/>
      <c r="Q15" s="573"/>
      <c r="R15" s="573"/>
      <c r="S15" s="573"/>
      <c r="T15" s="573"/>
      <c r="U15" s="573"/>
      <c r="V15" s="574"/>
      <c r="Y15" s="1851"/>
    </row>
    <row r="16" spans="1:25" s="9" customFormat="1" ht="13.5" thickBot="1" x14ac:dyDescent="0.25">
      <c r="A16" s="1887"/>
      <c r="B16" s="1848"/>
      <c r="C16" s="1898"/>
      <c r="D16" s="1899"/>
      <c r="E16" s="1899"/>
      <c r="F16" s="1899"/>
      <c r="G16" s="1865"/>
      <c r="H16" s="656" t="s">
        <v>1645</v>
      </c>
      <c r="I16" s="633">
        <v>43281</v>
      </c>
      <c r="J16" s="568"/>
      <c r="K16" s="572"/>
      <c r="L16" s="573"/>
      <c r="M16" s="573"/>
      <c r="N16" s="573"/>
      <c r="O16" s="573"/>
      <c r="P16" s="573"/>
      <c r="Q16" s="573"/>
      <c r="R16" s="573"/>
      <c r="S16" s="573"/>
      <c r="T16" s="573"/>
      <c r="U16" s="573"/>
      <c r="V16" s="574"/>
      <c r="Y16" s="1851"/>
    </row>
    <row r="17" spans="1:25" s="9" customFormat="1" ht="13.5" thickBot="1" x14ac:dyDescent="0.25">
      <c r="A17" s="1887"/>
      <c r="B17" s="1848"/>
      <c r="C17" s="1898"/>
      <c r="D17" s="1899"/>
      <c r="E17" s="1899"/>
      <c r="F17" s="1899"/>
      <c r="G17" s="1865"/>
      <c r="H17" s="621" t="s">
        <v>1487</v>
      </c>
      <c r="I17" s="634"/>
      <c r="J17" s="568"/>
      <c r="K17" s="572"/>
      <c r="L17" s="573"/>
      <c r="M17" s="573"/>
      <c r="N17" s="573"/>
      <c r="O17" s="573"/>
      <c r="P17" s="573"/>
      <c r="Q17" s="573"/>
      <c r="R17" s="573"/>
      <c r="S17" s="573"/>
      <c r="T17" s="573"/>
      <c r="U17" s="573"/>
      <c r="V17" s="574"/>
      <c r="Y17" s="1851"/>
    </row>
    <row r="18" spans="1:25" s="9" customFormat="1" ht="13.5" thickBot="1" x14ac:dyDescent="0.25">
      <c r="A18" s="1887"/>
      <c r="B18" s="1848"/>
      <c r="C18" s="1898" t="s">
        <v>1488</v>
      </c>
      <c r="D18" s="1899">
        <v>1</v>
      </c>
      <c r="E18" s="1899" t="s">
        <v>1491</v>
      </c>
      <c r="F18" s="1899" t="s">
        <v>29</v>
      </c>
      <c r="G18" s="1865" t="s">
        <v>1489</v>
      </c>
      <c r="H18" s="656" t="s">
        <v>1490</v>
      </c>
      <c r="I18" s="633">
        <v>43131</v>
      </c>
      <c r="J18" s="568"/>
      <c r="K18" s="572"/>
      <c r="L18" s="573"/>
      <c r="M18" s="573"/>
      <c r="N18" s="573"/>
      <c r="O18" s="573"/>
      <c r="P18" s="573"/>
      <c r="Q18" s="573"/>
      <c r="R18" s="573"/>
      <c r="S18" s="573"/>
      <c r="T18" s="573"/>
      <c r="U18" s="573"/>
      <c r="V18" s="574"/>
      <c r="Y18" s="1850"/>
    </row>
    <row r="19" spans="1:25" s="9" customFormat="1" ht="13.5" thickBot="1" x14ac:dyDescent="0.25">
      <c r="A19" s="1887"/>
      <c r="B19" s="1848"/>
      <c r="C19" s="1898"/>
      <c r="D19" s="1899"/>
      <c r="E19" s="1899"/>
      <c r="F19" s="1899"/>
      <c r="G19" s="1865"/>
      <c r="H19" s="656" t="s">
        <v>1543</v>
      </c>
      <c r="I19" s="633"/>
      <c r="J19" s="568"/>
      <c r="K19" s="572"/>
      <c r="L19" s="573"/>
      <c r="M19" s="573"/>
      <c r="N19" s="573"/>
      <c r="O19" s="573"/>
      <c r="P19" s="573"/>
      <c r="Q19" s="573"/>
      <c r="R19" s="573"/>
      <c r="S19" s="573"/>
      <c r="T19" s="573"/>
      <c r="U19" s="573"/>
      <c r="V19" s="574"/>
      <c r="Y19" s="1851"/>
    </row>
    <row r="20" spans="1:25" s="9" customFormat="1" ht="26.25" thickBot="1" x14ac:dyDescent="0.25">
      <c r="A20" s="1887"/>
      <c r="B20" s="1848"/>
      <c r="C20" s="1898"/>
      <c r="D20" s="1899"/>
      <c r="E20" s="1899"/>
      <c r="F20" s="1899"/>
      <c r="G20" s="1865"/>
      <c r="H20" s="656" t="s">
        <v>1492</v>
      </c>
      <c r="I20" s="633">
        <v>43281</v>
      </c>
      <c r="J20" s="568"/>
      <c r="K20" s="572"/>
      <c r="L20" s="573"/>
      <c r="M20" s="573"/>
      <c r="N20" s="573"/>
      <c r="O20" s="573"/>
      <c r="P20" s="573"/>
      <c r="Q20" s="573"/>
      <c r="R20" s="573"/>
      <c r="S20" s="573"/>
      <c r="T20" s="573"/>
      <c r="U20" s="573"/>
      <c r="V20" s="574"/>
      <c r="Y20" s="1851"/>
    </row>
    <row r="21" spans="1:25" s="9" customFormat="1" ht="13.5" thickBot="1" x14ac:dyDescent="0.25">
      <c r="A21" s="1887"/>
      <c r="B21" s="1848"/>
      <c r="C21" s="1865" t="s">
        <v>1819</v>
      </c>
      <c r="D21" s="1912">
        <v>1</v>
      </c>
      <c r="E21" s="1899" t="s">
        <v>1820</v>
      </c>
      <c r="F21" s="1899" t="s">
        <v>1494</v>
      </c>
      <c r="G21" s="1865" t="s">
        <v>1489</v>
      </c>
      <c r="H21" s="656" t="s">
        <v>1493</v>
      </c>
      <c r="I21" s="633">
        <v>43159</v>
      </c>
      <c r="J21" s="568"/>
      <c r="K21" s="572"/>
      <c r="L21" s="573"/>
      <c r="M21" s="573"/>
      <c r="N21" s="573"/>
      <c r="O21" s="573"/>
      <c r="P21" s="573"/>
      <c r="Q21" s="573"/>
      <c r="R21" s="573"/>
      <c r="S21" s="573"/>
      <c r="T21" s="573"/>
      <c r="U21" s="573"/>
      <c r="V21" s="574"/>
      <c r="Y21" s="1850"/>
    </row>
    <row r="22" spans="1:25" s="9" customFormat="1" ht="26.25" thickBot="1" x14ac:dyDescent="0.25">
      <c r="A22" s="1887"/>
      <c r="B22" s="1848"/>
      <c r="C22" s="1865"/>
      <c r="D22" s="1865"/>
      <c r="E22" s="1899"/>
      <c r="F22" s="1899"/>
      <c r="G22" s="1865"/>
      <c r="H22" s="656" t="s">
        <v>1544</v>
      </c>
      <c r="I22" s="633" t="s">
        <v>1245</v>
      </c>
      <c r="J22" s="568"/>
      <c r="K22" s="572"/>
      <c r="L22" s="573"/>
      <c r="M22" s="573"/>
      <c r="N22" s="573"/>
      <c r="O22" s="573"/>
      <c r="P22" s="573"/>
      <c r="Q22" s="573"/>
      <c r="R22" s="573"/>
      <c r="S22" s="573"/>
      <c r="T22" s="573"/>
      <c r="U22" s="573"/>
      <c r="V22" s="574"/>
      <c r="Y22" s="1851"/>
    </row>
    <row r="23" spans="1:25" s="9" customFormat="1" ht="13.5" thickBot="1" x14ac:dyDescent="0.25">
      <c r="A23" s="1887"/>
      <c r="B23" s="1848"/>
      <c r="C23" s="1865"/>
      <c r="D23" s="1865"/>
      <c r="E23" s="1899"/>
      <c r="F23" s="1899"/>
      <c r="G23" s="1865"/>
      <c r="H23" s="656" t="s">
        <v>1242</v>
      </c>
      <c r="I23" s="633" t="s">
        <v>1244</v>
      </c>
      <c r="J23" s="568"/>
      <c r="K23" s="572"/>
      <c r="L23" s="573"/>
      <c r="M23" s="573"/>
      <c r="N23" s="573"/>
      <c r="O23" s="573"/>
      <c r="P23" s="573"/>
      <c r="Q23" s="573"/>
      <c r="R23" s="573"/>
      <c r="S23" s="573"/>
      <c r="T23" s="573"/>
      <c r="U23" s="573"/>
      <c r="V23" s="574"/>
      <c r="Y23" s="1851"/>
    </row>
    <row r="24" spans="1:25" s="9" customFormat="1" ht="13.5" thickBot="1" x14ac:dyDescent="0.25">
      <c r="A24" s="1887"/>
      <c r="B24" s="1848"/>
      <c r="C24" s="1898" t="s">
        <v>1545</v>
      </c>
      <c r="D24" s="1899">
        <v>1</v>
      </c>
      <c r="E24" s="1899" t="s">
        <v>1240</v>
      </c>
      <c r="F24" s="1899" t="s">
        <v>1241</v>
      </c>
      <c r="G24" s="1865" t="s">
        <v>1489</v>
      </c>
      <c r="H24" s="629" t="s">
        <v>1546</v>
      </c>
      <c r="I24" s="633">
        <v>43281</v>
      </c>
      <c r="J24" s="568"/>
      <c r="K24" s="572"/>
      <c r="L24" s="573"/>
      <c r="M24" s="573"/>
      <c r="N24" s="573"/>
      <c r="O24" s="573"/>
      <c r="P24" s="573"/>
      <c r="Q24" s="573"/>
      <c r="R24" s="573"/>
      <c r="S24" s="573"/>
      <c r="T24" s="573"/>
      <c r="U24" s="573"/>
      <c r="V24" s="574"/>
      <c r="Y24" s="1850"/>
    </row>
    <row r="25" spans="1:25" s="9" customFormat="1" ht="26.25" thickBot="1" x14ac:dyDescent="0.25">
      <c r="A25" s="1887"/>
      <c r="B25" s="1848"/>
      <c r="C25" s="1898"/>
      <c r="D25" s="1899"/>
      <c r="E25" s="1899"/>
      <c r="F25" s="1899"/>
      <c r="G25" s="1865"/>
      <c r="H25" s="629" t="s">
        <v>1248</v>
      </c>
      <c r="I25" s="633" t="s">
        <v>1249</v>
      </c>
      <c r="J25" s="568"/>
      <c r="K25" s="572"/>
      <c r="L25" s="573"/>
      <c r="M25" s="573"/>
      <c r="N25" s="573"/>
      <c r="O25" s="573"/>
      <c r="P25" s="573"/>
      <c r="Q25" s="573"/>
      <c r="R25" s="573"/>
      <c r="S25" s="573"/>
      <c r="T25" s="573"/>
      <c r="U25" s="573"/>
      <c r="V25" s="574"/>
    </row>
    <row r="26" spans="1:25" s="9" customFormat="1" ht="13.5" thickBot="1" x14ac:dyDescent="0.25">
      <c r="A26" s="1887"/>
      <c r="B26" s="1848"/>
      <c r="C26" s="1898"/>
      <c r="D26" s="1899"/>
      <c r="E26" s="1899"/>
      <c r="F26" s="1899"/>
      <c r="G26" s="1865"/>
      <c r="H26" s="629" t="s">
        <v>1242</v>
      </c>
      <c r="I26" s="633" t="s">
        <v>1244</v>
      </c>
      <c r="J26" s="568"/>
      <c r="K26" s="575"/>
      <c r="L26" s="576"/>
      <c r="M26" s="576"/>
      <c r="N26" s="576"/>
      <c r="O26" s="576"/>
      <c r="P26" s="576"/>
      <c r="Q26" s="576"/>
      <c r="R26" s="576"/>
      <c r="S26" s="576"/>
      <c r="T26" s="576"/>
      <c r="U26" s="576"/>
      <c r="V26" s="577"/>
    </row>
    <row r="27" spans="1:25" s="9" customFormat="1" ht="12.75" x14ac:dyDescent="0.2">
      <c r="A27" s="1887" t="s">
        <v>1547</v>
      </c>
      <c r="B27" s="1849" t="s">
        <v>1548</v>
      </c>
      <c r="C27" s="1897" t="s">
        <v>1549</v>
      </c>
      <c r="D27" s="1901">
        <v>1</v>
      </c>
      <c r="E27" s="1897" t="s">
        <v>1462</v>
      </c>
      <c r="F27" s="1897" t="s">
        <v>1499</v>
      </c>
      <c r="G27" s="1897" t="s">
        <v>1550</v>
      </c>
      <c r="H27" s="629" t="s">
        <v>1546</v>
      </c>
      <c r="I27" s="635"/>
      <c r="J27" s="568"/>
      <c r="K27" s="588"/>
      <c r="L27" s="589"/>
      <c r="M27" s="589"/>
      <c r="N27" s="589"/>
      <c r="O27" s="589"/>
      <c r="P27" s="589"/>
      <c r="Q27" s="589"/>
      <c r="R27" s="589"/>
      <c r="S27" s="589"/>
      <c r="T27" s="589"/>
      <c r="U27" s="589"/>
      <c r="V27" s="593"/>
      <c r="Y27" s="1852" t="s">
        <v>2571</v>
      </c>
    </row>
    <row r="28" spans="1:25" s="9" customFormat="1" ht="13.5" thickBot="1" x14ac:dyDescent="0.25">
      <c r="A28" s="1887"/>
      <c r="B28" s="1849"/>
      <c r="C28" s="1897"/>
      <c r="D28" s="1901"/>
      <c r="E28" s="1897"/>
      <c r="F28" s="1897"/>
      <c r="G28" s="1897"/>
      <c r="H28" s="629" t="s">
        <v>1248</v>
      </c>
      <c r="I28" s="635"/>
      <c r="J28" s="568"/>
      <c r="K28" s="588"/>
      <c r="L28" s="589"/>
      <c r="M28" s="589"/>
      <c r="N28" s="589"/>
      <c r="O28" s="589"/>
      <c r="P28" s="589"/>
      <c r="Q28" s="589"/>
      <c r="R28" s="589"/>
      <c r="S28" s="589"/>
      <c r="T28" s="589"/>
      <c r="U28" s="589"/>
      <c r="V28" s="593"/>
      <c r="Y28" s="1851"/>
    </row>
    <row r="29" spans="1:25" s="9" customFormat="1" ht="51.75" thickBot="1" x14ac:dyDescent="0.25">
      <c r="A29" s="1887"/>
      <c r="B29" s="1849"/>
      <c r="C29" s="1897"/>
      <c r="D29" s="1901"/>
      <c r="E29" s="1897"/>
      <c r="F29" s="1897"/>
      <c r="G29" s="1897"/>
      <c r="H29" s="657" t="s">
        <v>1242</v>
      </c>
      <c r="I29" s="636"/>
      <c r="J29" s="628" t="s">
        <v>84</v>
      </c>
      <c r="K29" s="579"/>
      <c r="L29" s="580"/>
      <c r="M29" s="580"/>
      <c r="N29" s="580"/>
      <c r="O29" s="580"/>
      <c r="P29" s="580"/>
      <c r="Q29" s="580"/>
      <c r="R29" s="580"/>
      <c r="S29" s="580"/>
      <c r="T29" s="580"/>
      <c r="U29" s="580"/>
      <c r="V29" s="571"/>
      <c r="Y29" s="1851"/>
    </row>
    <row r="30" spans="1:25" s="9" customFormat="1" ht="13.5" thickBot="1" x14ac:dyDescent="0.25">
      <c r="A30" s="1887"/>
      <c r="B30" s="1849"/>
      <c r="C30" s="1897" t="s">
        <v>1518</v>
      </c>
      <c r="D30" s="1901" t="s">
        <v>1500</v>
      </c>
      <c r="E30" s="1897" t="s">
        <v>1502</v>
      </c>
      <c r="F30" s="1903" t="s">
        <v>1503</v>
      </c>
      <c r="G30" s="1897" t="s">
        <v>1550</v>
      </c>
      <c r="H30" s="629" t="s">
        <v>1546</v>
      </c>
      <c r="I30" s="637"/>
      <c r="J30" s="1909" t="s">
        <v>1551</v>
      </c>
      <c r="K30" s="572"/>
      <c r="L30" s="573"/>
      <c r="M30" s="573"/>
      <c r="N30" s="573"/>
      <c r="O30" s="573"/>
      <c r="P30" s="573"/>
      <c r="Q30" s="573"/>
      <c r="R30" s="573"/>
      <c r="S30" s="573"/>
      <c r="T30" s="573"/>
      <c r="U30" s="573"/>
      <c r="V30" s="574"/>
      <c r="Y30" s="1852"/>
    </row>
    <row r="31" spans="1:25" s="9" customFormat="1" ht="13.5" thickBot="1" x14ac:dyDescent="0.25">
      <c r="A31" s="1887"/>
      <c r="B31" s="1849"/>
      <c r="C31" s="1897"/>
      <c r="D31" s="1901"/>
      <c r="E31" s="1897"/>
      <c r="F31" s="1903"/>
      <c r="G31" s="1897"/>
      <c r="H31" s="629" t="s">
        <v>1248</v>
      </c>
      <c r="I31" s="638"/>
      <c r="J31" s="1910"/>
      <c r="K31" s="572"/>
      <c r="L31" s="573"/>
      <c r="M31" s="573"/>
      <c r="N31" s="573"/>
      <c r="O31" s="573"/>
      <c r="P31" s="573"/>
      <c r="Q31" s="573"/>
      <c r="R31" s="573"/>
      <c r="S31" s="573"/>
      <c r="T31" s="573"/>
      <c r="U31" s="573"/>
      <c r="V31" s="574"/>
      <c r="Y31" s="1851"/>
    </row>
    <row r="32" spans="1:25" s="9" customFormat="1" ht="13.5" thickBot="1" x14ac:dyDescent="0.25">
      <c r="A32" s="1887"/>
      <c r="B32" s="1849"/>
      <c r="C32" s="1897"/>
      <c r="D32" s="1901"/>
      <c r="E32" s="1897"/>
      <c r="F32" s="1903"/>
      <c r="G32" s="1897"/>
      <c r="H32" s="629" t="s">
        <v>1501</v>
      </c>
      <c r="I32" s="638"/>
      <c r="J32" s="1910"/>
      <c r="K32" s="572"/>
      <c r="L32" s="573"/>
      <c r="M32" s="573"/>
      <c r="N32" s="573"/>
      <c r="O32" s="573"/>
      <c r="P32" s="573"/>
      <c r="Q32" s="573"/>
      <c r="R32" s="573"/>
      <c r="S32" s="573"/>
      <c r="T32" s="573"/>
      <c r="U32" s="573"/>
      <c r="V32" s="574"/>
      <c r="Y32" s="1851"/>
    </row>
    <row r="33" spans="1:26" s="9" customFormat="1" ht="13.5" thickBot="1" x14ac:dyDescent="0.25">
      <c r="A33" s="1887"/>
      <c r="B33" s="1849" t="s">
        <v>1552</v>
      </c>
      <c r="C33" s="1849" t="s">
        <v>1468</v>
      </c>
      <c r="D33" s="1867" t="s">
        <v>1553</v>
      </c>
      <c r="E33" s="1849" t="s">
        <v>1463</v>
      </c>
      <c r="F33" s="1849" t="s">
        <v>1737</v>
      </c>
      <c r="G33" s="1849" t="s">
        <v>1554</v>
      </c>
      <c r="H33" s="665" t="s">
        <v>1555</v>
      </c>
      <c r="I33" s="637"/>
      <c r="J33" s="1909" t="s">
        <v>85</v>
      </c>
      <c r="K33" s="572"/>
      <c r="L33" s="573"/>
      <c r="M33" s="573"/>
      <c r="N33" s="573"/>
      <c r="O33" s="573"/>
      <c r="P33" s="573"/>
      <c r="Q33" s="573"/>
      <c r="R33" s="573"/>
      <c r="S33" s="573"/>
      <c r="T33" s="573"/>
      <c r="U33" s="573"/>
      <c r="V33" s="574"/>
      <c r="Y33" s="1852"/>
      <c r="Z33" s="727"/>
    </row>
    <row r="34" spans="1:26" s="9" customFormat="1" ht="13.5" thickBot="1" x14ac:dyDescent="0.25">
      <c r="A34" s="1887"/>
      <c r="B34" s="1849"/>
      <c r="C34" s="1849"/>
      <c r="D34" s="1867"/>
      <c r="E34" s="1849"/>
      <c r="F34" s="1849"/>
      <c r="G34" s="1849"/>
      <c r="H34" s="665" t="s">
        <v>1248</v>
      </c>
      <c r="I34" s="638"/>
      <c r="J34" s="1910"/>
      <c r="K34" s="572"/>
      <c r="L34" s="573"/>
      <c r="M34" s="573"/>
      <c r="N34" s="573"/>
      <c r="O34" s="573"/>
      <c r="P34" s="573"/>
      <c r="Q34" s="573"/>
      <c r="R34" s="573"/>
      <c r="S34" s="573"/>
      <c r="T34" s="573"/>
      <c r="U34" s="573"/>
      <c r="V34" s="574"/>
    </row>
    <row r="35" spans="1:26" s="9" customFormat="1" ht="13.5" thickBot="1" x14ac:dyDescent="0.25">
      <c r="A35" s="1887"/>
      <c r="B35" s="1849"/>
      <c r="C35" s="1849"/>
      <c r="D35" s="1867"/>
      <c r="E35" s="1849"/>
      <c r="F35" s="1849"/>
      <c r="G35" s="1849"/>
      <c r="H35" s="663" t="s">
        <v>1504</v>
      </c>
      <c r="I35" s="638"/>
      <c r="J35" s="1910"/>
      <c r="K35" s="572"/>
      <c r="L35" s="573"/>
      <c r="M35" s="573"/>
      <c r="N35" s="573"/>
      <c r="O35" s="573"/>
      <c r="P35" s="573"/>
      <c r="Q35" s="573"/>
      <c r="R35" s="573"/>
      <c r="S35" s="573"/>
      <c r="T35" s="573"/>
      <c r="U35" s="573"/>
      <c r="V35" s="574"/>
    </row>
    <row r="36" spans="1:26" s="9" customFormat="1" ht="13.5" thickBot="1" x14ac:dyDescent="0.25">
      <c r="A36" s="1887"/>
      <c r="B36" s="1849"/>
      <c r="C36" s="1849"/>
      <c r="D36" s="1867"/>
      <c r="E36" s="1849"/>
      <c r="F36" s="1849"/>
      <c r="G36" s="1849"/>
      <c r="H36" s="663" t="s">
        <v>1505</v>
      </c>
      <c r="I36" s="638"/>
      <c r="J36" s="1910"/>
      <c r="K36" s="572"/>
      <c r="L36" s="573"/>
      <c r="M36" s="573"/>
      <c r="N36" s="573"/>
      <c r="O36" s="573"/>
      <c r="P36" s="573"/>
      <c r="Q36" s="573"/>
      <c r="R36" s="573"/>
      <c r="S36" s="573"/>
      <c r="T36" s="573"/>
      <c r="U36" s="573"/>
      <c r="V36" s="574"/>
    </row>
    <row r="37" spans="1:26" s="9" customFormat="1" ht="13.5" thickBot="1" x14ac:dyDescent="0.25">
      <c r="A37" s="1887"/>
      <c r="B37" s="1849"/>
      <c r="C37" s="1849"/>
      <c r="D37" s="1867"/>
      <c r="E37" s="1849"/>
      <c r="F37" s="1849"/>
      <c r="G37" s="1849"/>
      <c r="H37" s="663" t="s">
        <v>1506</v>
      </c>
      <c r="I37" s="639"/>
      <c r="J37" s="1911"/>
      <c r="K37" s="575"/>
      <c r="L37" s="576"/>
      <c r="M37" s="576"/>
      <c r="N37" s="576"/>
      <c r="O37" s="576"/>
      <c r="P37" s="576"/>
      <c r="Q37" s="576"/>
      <c r="R37" s="576"/>
      <c r="S37" s="576"/>
      <c r="T37" s="576"/>
      <c r="U37" s="576"/>
      <c r="V37" s="577"/>
    </row>
    <row r="38" spans="1:26" s="9" customFormat="1" ht="26.25" thickBot="1" x14ac:dyDescent="0.25">
      <c r="A38" s="1862" t="s">
        <v>1480</v>
      </c>
      <c r="B38" s="1849" t="s">
        <v>374</v>
      </c>
      <c r="C38" s="1897" t="s">
        <v>1556</v>
      </c>
      <c r="D38" s="1897" t="s">
        <v>93</v>
      </c>
      <c r="E38" s="1897" t="s">
        <v>94</v>
      </c>
      <c r="F38" s="1897" t="s">
        <v>95</v>
      </c>
      <c r="G38" s="1897" t="s">
        <v>34</v>
      </c>
      <c r="H38" s="607" t="s">
        <v>1666</v>
      </c>
      <c r="I38" s="585">
        <v>43159</v>
      </c>
      <c r="J38" s="1848" t="s">
        <v>99</v>
      </c>
      <c r="K38" s="581" t="s">
        <v>1397</v>
      </c>
      <c r="L38" s="580"/>
      <c r="M38" s="580"/>
      <c r="N38" s="580"/>
      <c r="O38" s="580"/>
      <c r="P38" s="580"/>
      <c r="Q38" s="580"/>
      <c r="R38" s="580"/>
      <c r="S38" s="580"/>
      <c r="T38" s="580"/>
      <c r="U38" s="580"/>
      <c r="V38" s="571"/>
      <c r="Y38" s="725" t="s">
        <v>2572</v>
      </c>
    </row>
    <row r="39" spans="1:26" s="9" customFormat="1" ht="13.5" thickBot="1" x14ac:dyDescent="0.25">
      <c r="A39" s="1862"/>
      <c r="B39" s="1849"/>
      <c r="C39" s="1897"/>
      <c r="D39" s="1897"/>
      <c r="E39" s="1897"/>
      <c r="F39" s="1897"/>
      <c r="G39" s="1897"/>
      <c r="H39" s="607" t="s">
        <v>1667</v>
      </c>
      <c r="I39" s="585">
        <v>43174</v>
      </c>
      <c r="J39" s="1848"/>
      <c r="K39" s="581" t="s">
        <v>1397</v>
      </c>
      <c r="L39" s="581" t="s">
        <v>1397</v>
      </c>
      <c r="M39" s="581" t="s">
        <v>1397</v>
      </c>
      <c r="N39" s="581" t="s">
        <v>1397</v>
      </c>
      <c r="O39" s="581" t="s">
        <v>1397</v>
      </c>
      <c r="P39" s="581" t="s">
        <v>1397</v>
      </c>
      <c r="Q39" s="581" t="s">
        <v>1397</v>
      </c>
      <c r="R39" s="581" t="s">
        <v>1397</v>
      </c>
      <c r="S39" s="581" t="s">
        <v>1397</v>
      </c>
      <c r="T39" s="581" t="s">
        <v>1397</v>
      </c>
      <c r="U39" s="581" t="s">
        <v>1397</v>
      </c>
      <c r="V39" s="574"/>
    </row>
    <row r="40" spans="1:26" s="9" customFormat="1" ht="26.25" thickBot="1" x14ac:dyDescent="0.25">
      <c r="A40" s="1862"/>
      <c r="B40" s="1849"/>
      <c r="C40" s="1897"/>
      <c r="D40" s="1897"/>
      <c r="E40" s="1897"/>
      <c r="F40" s="1897"/>
      <c r="G40" s="1897"/>
      <c r="H40" s="607" t="s">
        <v>1668</v>
      </c>
      <c r="I40" s="585">
        <v>43434</v>
      </c>
      <c r="J40" s="1848"/>
      <c r="K40" s="572"/>
      <c r="L40" s="573"/>
      <c r="M40" s="581" t="s">
        <v>1397</v>
      </c>
      <c r="N40" s="581" t="s">
        <v>1397</v>
      </c>
      <c r="O40" s="581" t="s">
        <v>1397</v>
      </c>
      <c r="P40" s="581" t="s">
        <v>1397</v>
      </c>
      <c r="Q40" s="581" t="s">
        <v>1397</v>
      </c>
      <c r="R40" s="581" t="s">
        <v>1397</v>
      </c>
      <c r="S40" s="581" t="s">
        <v>1397</v>
      </c>
      <c r="T40" s="581" t="s">
        <v>1397</v>
      </c>
      <c r="U40" s="581" t="s">
        <v>1397</v>
      </c>
      <c r="V40" s="574"/>
    </row>
    <row r="41" spans="1:26" s="9" customFormat="1" ht="13.5" thickBot="1" x14ac:dyDescent="0.25">
      <c r="A41" s="1862"/>
      <c r="B41" s="1849"/>
      <c r="C41" s="1897"/>
      <c r="D41" s="1897"/>
      <c r="E41" s="1897"/>
      <c r="F41" s="1897"/>
      <c r="G41" s="1897"/>
      <c r="H41" s="607" t="s">
        <v>1669</v>
      </c>
      <c r="I41" s="585">
        <v>43465</v>
      </c>
      <c r="J41" s="1848"/>
      <c r="K41" s="575"/>
      <c r="L41" s="576"/>
      <c r="M41" s="576"/>
      <c r="N41" s="576"/>
      <c r="O41" s="576"/>
      <c r="P41" s="576"/>
      <c r="Q41" s="581" t="s">
        <v>1397</v>
      </c>
      <c r="R41" s="576"/>
      <c r="S41" s="576"/>
      <c r="T41" s="576"/>
      <c r="U41" s="576"/>
      <c r="V41" s="581" t="s">
        <v>1397</v>
      </c>
    </row>
    <row r="42" spans="1:26" s="9" customFormat="1" ht="26.25" thickBot="1" x14ac:dyDescent="0.25">
      <c r="A42" s="1862" t="s">
        <v>1478</v>
      </c>
      <c r="B42" s="1849" t="s">
        <v>374</v>
      </c>
      <c r="C42" s="1849" t="s">
        <v>1557</v>
      </c>
      <c r="D42" s="1867" t="s">
        <v>1394</v>
      </c>
      <c r="E42" s="1867" t="s">
        <v>105</v>
      </c>
      <c r="F42" s="1867" t="s">
        <v>30</v>
      </c>
      <c r="G42" s="1848" t="s">
        <v>1558</v>
      </c>
      <c r="H42" s="621" t="s">
        <v>1670</v>
      </c>
      <c r="I42" s="585">
        <v>43131</v>
      </c>
      <c r="J42" s="1848" t="s">
        <v>1559</v>
      </c>
      <c r="K42" s="579"/>
      <c r="L42" s="580"/>
      <c r="M42" s="580"/>
      <c r="N42" s="580"/>
      <c r="O42" s="580"/>
      <c r="P42" s="580"/>
      <c r="Q42" s="580"/>
      <c r="R42" s="580"/>
      <c r="S42" s="580"/>
      <c r="T42" s="580"/>
      <c r="U42" s="580"/>
      <c r="V42" s="571"/>
      <c r="W42" s="620"/>
      <c r="Y42" s="1850" t="s">
        <v>2573</v>
      </c>
    </row>
    <row r="43" spans="1:26" s="9" customFormat="1" ht="13.5" thickBot="1" x14ac:dyDescent="0.25">
      <c r="A43" s="1862"/>
      <c r="B43" s="1849"/>
      <c r="C43" s="1849"/>
      <c r="D43" s="1867"/>
      <c r="E43" s="1867"/>
      <c r="F43" s="1867"/>
      <c r="G43" s="1848"/>
      <c r="H43" s="621" t="s">
        <v>1671</v>
      </c>
      <c r="I43" s="585">
        <v>43159</v>
      </c>
      <c r="J43" s="1848"/>
      <c r="K43" s="572"/>
      <c r="L43" s="573"/>
      <c r="M43" s="573"/>
      <c r="N43" s="573"/>
      <c r="O43" s="573"/>
      <c r="P43" s="573"/>
      <c r="Q43" s="573"/>
      <c r="R43" s="573"/>
      <c r="S43" s="573"/>
      <c r="T43" s="573"/>
      <c r="U43" s="573"/>
      <c r="V43" s="574"/>
      <c r="W43" s="620"/>
      <c r="Y43" s="1851"/>
    </row>
    <row r="44" spans="1:26" s="9" customFormat="1" ht="77.25" thickBot="1" x14ac:dyDescent="0.25">
      <c r="A44" s="1862"/>
      <c r="B44" s="1849"/>
      <c r="C44" s="687" t="s">
        <v>1560</v>
      </c>
      <c r="D44" s="687" t="s">
        <v>1561</v>
      </c>
      <c r="E44" s="687" t="s">
        <v>1730</v>
      </c>
      <c r="F44" s="687" t="s">
        <v>101</v>
      </c>
      <c r="G44" s="682" t="s">
        <v>1558</v>
      </c>
      <c r="H44" s="607" t="s">
        <v>1672</v>
      </c>
      <c r="I44" s="585">
        <v>43434</v>
      </c>
      <c r="J44" s="630" t="s">
        <v>1562</v>
      </c>
      <c r="K44" s="631" t="s">
        <v>1397</v>
      </c>
      <c r="L44" s="631" t="s">
        <v>1397</v>
      </c>
      <c r="M44" s="631" t="s">
        <v>1397</v>
      </c>
      <c r="N44" s="631" t="s">
        <v>1397</v>
      </c>
      <c r="O44" s="631"/>
      <c r="P44" s="631"/>
      <c r="Q44" s="631"/>
      <c r="R44" s="631"/>
      <c r="S44" s="631"/>
      <c r="T44" s="631"/>
      <c r="U44" s="631"/>
      <c r="V44" s="605"/>
      <c r="W44" s="620"/>
      <c r="Y44" s="1855"/>
    </row>
    <row r="45" spans="1:26" s="9" customFormat="1" ht="26.25" thickBot="1" x14ac:dyDescent="0.25">
      <c r="A45" s="1862"/>
      <c r="B45" s="1849"/>
      <c r="C45" s="1849" t="s">
        <v>1739</v>
      </c>
      <c r="D45" s="1867" t="s">
        <v>1399</v>
      </c>
      <c r="E45" s="1867" t="s">
        <v>105</v>
      </c>
      <c r="F45" s="1867" t="s">
        <v>109</v>
      </c>
      <c r="G45" s="1848" t="s">
        <v>1558</v>
      </c>
      <c r="H45" s="621" t="s">
        <v>1647</v>
      </c>
      <c r="I45" s="585">
        <v>43131</v>
      </c>
      <c r="J45" s="1848" t="s">
        <v>113</v>
      </c>
      <c r="K45" s="582" t="s">
        <v>1397</v>
      </c>
      <c r="L45" s="582" t="s">
        <v>1397</v>
      </c>
      <c r="M45" s="583"/>
      <c r="N45" s="573"/>
      <c r="O45" s="573"/>
      <c r="P45" s="573"/>
      <c r="Q45" s="573"/>
      <c r="R45" s="573"/>
      <c r="S45" s="573"/>
      <c r="T45" s="573"/>
      <c r="U45" s="573"/>
      <c r="V45" s="574"/>
      <c r="W45" s="1906" t="s">
        <v>1400</v>
      </c>
      <c r="Y45" s="1856"/>
    </row>
    <row r="46" spans="1:26" s="9" customFormat="1" ht="26.25" thickBot="1" x14ac:dyDescent="0.25">
      <c r="A46" s="1862"/>
      <c r="B46" s="1849"/>
      <c r="C46" s="1849"/>
      <c r="D46" s="1867"/>
      <c r="E46" s="1867"/>
      <c r="F46" s="1867"/>
      <c r="G46" s="1848"/>
      <c r="H46" s="621" t="s">
        <v>1648</v>
      </c>
      <c r="I46" s="585">
        <v>43159</v>
      </c>
      <c r="J46" s="1848"/>
      <c r="K46" s="582"/>
      <c r="L46" s="583"/>
      <c r="M46" s="583" t="s">
        <v>1397</v>
      </c>
      <c r="N46" s="583" t="s">
        <v>1397</v>
      </c>
      <c r="O46" s="573"/>
      <c r="P46" s="573"/>
      <c r="Q46" s="573"/>
      <c r="R46" s="573"/>
      <c r="S46" s="573"/>
      <c r="T46" s="573"/>
      <c r="U46" s="573"/>
      <c r="V46" s="574"/>
      <c r="W46" s="1907"/>
      <c r="Y46" s="1851"/>
    </row>
    <row r="47" spans="1:26" s="9" customFormat="1" ht="26.25" thickBot="1" x14ac:dyDescent="0.25">
      <c r="A47" s="1862"/>
      <c r="B47" s="1849"/>
      <c r="C47" s="1849"/>
      <c r="D47" s="1867"/>
      <c r="E47" s="1867"/>
      <c r="F47" s="1867"/>
      <c r="G47" s="1848"/>
      <c r="H47" s="621" t="s">
        <v>112</v>
      </c>
      <c r="I47" s="585">
        <v>43190</v>
      </c>
      <c r="J47" s="1848"/>
      <c r="K47" s="582"/>
      <c r="L47" s="583"/>
      <c r="M47" s="583"/>
      <c r="N47" s="583"/>
      <c r="O47" s="583" t="s">
        <v>1397</v>
      </c>
      <c r="P47" s="573"/>
      <c r="Q47" s="573"/>
      <c r="R47" s="573"/>
      <c r="S47" s="573"/>
      <c r="T47" s="573"/>
      <c r="U47" s="573"/>
      <c r="V47" s="574"/>
      <c r="W47" s="1908"/>
      <c r="Y47" s="1851"/>
    </row>
    <row r="48" spans="1:26" s="9" customFormat="1" ht="26.25" thickBot="1" x14ac:dyDescent="0.25">
      <c r="A48" s="1862"/>
      <c r="B48" s="1849"/>
      <c r="C48" s="1867" t="s">
        <v>116</v>
      </c>
      <c r="D48" s="1867" t="s">
        <v>1401</v>
      </c>
      <c r="E48" s="1867" t="s">
        <v>1664</v>
      </c>
      <c r="F48" s="1867" t="s">
        <v>118</v>
      </c>
      <c r="G48" s="1849" t="s">
        <v>1558</v>
      </c>
      <c r="H48" s="621" t="s">
        <v>1731</v>
      </c>
      <c r="I48" s="585">
        <v>43465</v>
      </c>
      <c r="J48" s="1848" t="s">
        <v>1563</v>
      </c>
      <c r="K48" s="582"/>
      <c r="L48" s="583"/>
      <c r="M48" s="583"/>
      <c r="N48" s="583" t="s">
        <v>1397</v>
      </c>
      <c r="O48" s="583" t="s">
        <v>1397</v>
      </c>
      <c r="P48" s="573"/>
      <c r="Q48" s="573"/>
      <c r="R48" s="573"/>
      <c r="S48" s="573"/>
      <c r="T48" s="573"/>
      <c r="U48" s="573"/>
      <c r="V48" s="574"/>
      <c r="W48" s="1904" t="s">
        <v>1404</v>
      </c>
      <c r="Y48" s="1850"/>
    </row>
    <row r="49" spans="1:25" s="9" customFormat="1" ht="13.5" thickBot="1" x14ac:dyDescent="0.25">
      <c r="A49" s="1862"/>
      <c r="B49" s="1849"/>
      <c r="C49" s="1867"/>
      <c r="D49" s="1867"/>
      <c r="E49" s="1867"/>
      <c r="F49" s="1867"/>
      <c r="G49" s="1849"/>
      <c r="H49" s="621" t="s">
        <v>1403</v>
      </c>
      <c r="I49" s="585"/>
      <c r="J49" s="1848"/>
      <c r="K49" s="582"/>
      <c r="L49" s="582"/>
      <c r="M49" s="582"/>
      <c r="N49" s="582" t="s">
        <v>1397</v>
      </c>
      <c r="O49" s="582" t="s">
        <v>1397</v>
      </c>
      <c r="P49" s="582" t="s">
        <v>1397</v>
      </c>
      <c r="Q49" s="582" t="s">
        <v>1397</v>
      </c>
      <c r="R49" s="582" t="s">
        <v>1397</v>
      </c>
      <c r="S49" s="582" t="s">
        <v>1397</v>
      </c>
      <c r="T49" s="582" t="s">
        <v>1397</v>
      </c>
      <c r="U49" s="582" t="s">
        <v>1397</v>
      </c>
      <c r="V49" s="582" t="s">
        <v>1397</v>
      </c>
      <c r="W49" s="1904"/>
      <c r="Y49" s="1851"/>
    </row>
    <row r="50" spans="1:25" s="9" customFormat="1" ht="26.25" thickBot="1" x14ac:dyDescent="0.25">
      <c r="A50" s="1862"/>
      <c r="B50" s="1849"/>
      <c r="C50" s="1867"/>
      <c r="D50" s="1867"/>
      <c r="E50" s="1867"/>
      <c r="F50" s="1867"/>
      <c r="G50" s="1849"/>
      <c r="H50" s="621" t="s">
        <v>1732</v>
      </c>
      <c r="I50" s="585">
        <v>43465</v>
      </c>
      <c r="J50" s="1848"/>
      <c r="K50" s="582"/>
      <c r="L50" s="582"/>
      <c r="M50" s="582"/>
      <c r="N50" s="582" t="s">
        <v>1397</v>
      </c>
      <c r="O50" s="582" t="s">
        <v>1397</v>
      </c>
      <c r="P50" s="582" t="s">
        <v>1397</v>
      </c>
      <c r="Q50" s="582" t="s">
        <v>1397</v>
      </c>
      <c r="R50" s="582" t="s">
        <v>1397</v>
      </c>
      <c r="S50" s="582" t="s">
        <v>1397</v>
      </c>
      <c r="T50" s="582" t="s">
        <v>1397</v>
      </c>
      <c r="U50" s="582" t="s">
        <v>1397</v>
      </c>
      <c r="V50" s="582" t="s">
        <v>1397</v>
      </c>
      <c r="W50" s="1904"/>
      <c r="Y50" s="1851"/>
    </row>
    <row r="51" spans="1:25" s="9" customFormat="1" ht="77.25" thickBot="1" x14ac:dyDescent="0.25">
      <c r="A51" s="1862"/>
      <c r="B51" s="1849"/>
      <c r="C51" s="1867" t="s">
        <v>121</v>
      </c>
      <c r="D51" s="1867" t="s">
        <v>122</v>
      </c>
      <c r="E51" s="1867" t="s">
        <v>1740</v>
      </c>
      <c r="F51" s="1867" t="s">
        <v>1740</v>
      </c>
      <c r="G51" s="1848" t="s">
        <v>1558</v>
      </c>
      <c r="H51" s="621" t="s">
        <v>1405</v>
      </c>
      <c r="I51" s="585">
        <v>43190</v>
      </c>
      <c r="J51" s="1848" t="s">
        <v>1564</v>
      </c>
      <c r="K51" s="582"/>
      <c r="L51" s="582"/>
      <c r="M51" s="582"/>
      <c r="N51" s="582" t="s">
        <v>1397</v>
      </c>
      <c r="O51" s="582" t="s">
        <v>1397</v>
      </c>
      <c r="P51" s="582" t="s">
        <v>1397</v>
      </c>
      <c r="Q51" s="582" t="s">
        <v>1397</v>
      </c>
      <c r="R51" s="582" t="s">
        <v>1397</v>
      </c>
      <c r="S51" s="582" t="s">
        <v>1397</v>
      </c>
      <c r="T51" s="582" t="s">
        <v>1397</v>
      </c>
      <c r="U51" s="582" t="s">
        <v>1397</v>
      </c>
      <c r="V51" s="582" t="s">
        <v>1397</v>
      </c>
      <c r="W51" s="1904" t="s">
        <v>1407</v>
      </c>
      <c r="Y51" s="1850"/>
    </row>
    <row r="52" spans="1:25" s="9" customFormat="1" ht="51.75" thickBot="1" x14ac:dyDescent="0.25">
      <c r="A52" s="1862"/>
      <c r="B52" s="1849"/>
      <c r="C52" s="1867"/>
      <c r="D52" s="1867"/>
      <c r="E52" s="1867"/>
      <c r="F52" s="1867"/>
      <c r="G52" s="1848"/>
      <c r="H52" s="621" t="s">
        <v>1507</v>
      </c>
      <c r="I52" s="585">
        <v>43465</v>
      </c>
      <c r="J52" s="1848"/>
      <c r="K52" s="575"/>
      <c r="L52" s="576"/>
      <c r="M52" s="584"/>
      <c r="N52" s="584" t="s">
        <v>1397</v>
      </c>
      <c r="O52" s="584" t="s">
        <v>1397</v>
      </c>
      <c r="P52" s="584" t="s">
        <v>1397</v>
      </c>
      <c r="Q52" s="584" t="s">
        <v>1397</v>
      </c>
      <c r="R52" s="584" t="s">
        <v>1397</v>
      </c>
      <c r="S52" s="584" t="s">
        <v>1397</v>
      </c>
      <c r="T52" s="584" t="s">
        <v>1397</v>
      </c>
      <c r="U52" s="584" t="s">
        <v>1397</v>
      </c>
      <c r="V52" s="584" t="s">
        <v>1397</v>
      </c>
      <c r="W52" s="1904"/>
      <c r="Y52" s="1851"/>
    </row>
    <row r="53" spans="1:25" s="9" customFormat="1" ht="12.75" x14ac:dyDescent="0.2">
      <c r="A53" s="1862"/>
      <c r="B53" s="1849"/>
      <c r="C53" s="1905" t="s">
        <v>1565</v>
      </c>
      <c r="D53" s="1905" t="s">
        <v>1566</v>
      </c>
      <c r="E53" s="1905" t="s">
        <v>1465</v>
      </c>
      <c r="F53" s="1905" t="s">
        <v>1466</v>
      </c>
      <c r="G53" s="1898" t="s">
        <v>1567</v>
      </c>
      <c r="H53" s="621" t="s">
        <v>1568</v>
      </c>
      <c r="I53" s="585"/>
      <c r="J53" s="578"/>
      <c r="K53" s="588"/>
      <c r="L53" s="589"/>
      <c r="M53" s="590"/>
      <c r="N53" s="590"/>
      <c r="O53" s="590"/>
      <c r="P53" s="590"/>
      <c r="Q53" s="590"/>
      <c r="R53" s="590"/>
      <c r="S53" s="590"/>
      <c r="T53" s="590"/>
      <c r="U53" s="590"/>
      <c r="V53" s="591"/>
      <c r="W53" s="592"/>
      <c r="Y53" s="1850"/>
    </row>
    <row r="54" spans="1:25" s="9" customFormat="1" ht="12.75" x14ac:dyDescent="0.2">
      <c r="A54" s="1862"/>
      <c r="B54" s="1849"/>
      <c r="C54" s="1905"/>
      <c r="D54" s="1905"/>
      <c r="E54" s="1905"/>
      <c r="F54" s="1905"/>
      <c r="G54" s="1898"/>
      <c r="H54" s="621" t="s">
        <v>1495</v>
      </c>
      <c r="I54" s="585"/>
      <c r="J54" s="578"/>
      <c r="K54" s="588"/>
      <c r="L54" s="589"/>
      <c r="M54" s="590"/>
      <c r="N54" s="590"/>
      <c r="O54" s="590"/>
      <c r="P54" s="590"/>
      <c r="Q54" s="590"/>
      <c r="R54" s="590"/>
      <c r="S54" s="590"/>
      <c r="T54" s="590"/>
      <c r="U54" s="590"/>
      <c r="V54" s="591"/>
      <c r="W54" s="592"/>
      <c r="Y54" s="1851"/>
    </row>
    <row r="55" spans="1:25" s="9" customFormat="1" ht="12.75" x14ac:dyDescent="0.2">
      <c r="A55" s="1862"/>
      <c r="B55" s="1849"/>
      <c r="C55" s="1867" t="s">
        <v>1469</v>
      </c>
      <c r="D55" s="1867" t="s">
        <v>1569</v>
      </c>
      <c r="E55" s="1867" t="s">
        <v>1467</v>
      </c>
      <c r="F55" s="1867" t="s">
        <v>1466</v>
      </c>
      <c r="G55" s="1849" t="s">
        <v>1558</v>
      </c>
      <c r="H55" s="621" t="s">
        <v>1496</v>
      </c>
      <c r="I55" s="585"/>
      <c r="J55" s="578"/>
      <c r="K55" s="588"/>
      <c r="L55" s="589"/>
      <c r="M55" s="590"/>
      <c r="N55" s="590"/>
      <c r="O55" s="590"/>
      <c r="P55" s="590"/>
      <c r="Q55" s="590"/>
      <c r="R55" s="590"/>
      <c r="S55" s="590"/>
      <c r="T55" s="590"/>
      <c r="U55" s="590"/>
      <c r="V55" s="591"/>
      <c r="W55" s="592"/>
      <c r="Y55" s="1850"/>
    </row>
    <row r="56" spans="1:25" s="9" customFormat="1" ht="12.75" x14ac:dyDescent="0.2">
      <c r="A56" s="1862"/>
      <c r="B56" s="1849"/>
      <c r="C56" s="1867"/>
      <c r="D56" s="1867"/>
      <c r="E56" s="1867"/>
      <c r="F56" s="1867"/>
      <c r="G56" s="1849"/>
      <c r="H56" s="621" t="s">
        <v>1497</v>
      </c>
      <c r="I56" s="585"/>
      <c r="J56" s="578"/>
      <c r="K56" s="588"/>
      <c r="L56" s="589"/>
      <c r="M56" s="590"/>
      <c r="N56" s="590"/>
      <c r="O56" s="590"/>
      <c r="P56" s="590"/>
      <c r="Q56" s="590"/>
      <c r="R56" s="590"/>
      <c r="S56" s="590"/>
      <c r="T56" s="590"/>
      <c r="U56" s="590"/>
      <c r="V56" s="591"/>
      <c r="W56" s="592"/>
    </row>
    <row r="57" spans="1:25" s="9" customFormat="1" ht="13.5" thickBot="1" x14ac:dyDescent="0.25">
      <c r="A57" s="1862"/>
      <c r="B57" s="1849"/>
      <c r="C57" s="1867"/>
      <c r="D57" s="1867"/>
      <c r="E57" s="1867"/>
      <c r="F57" s="1867"/>
      <c r="G57" s="1849"/>
      <c r="H57" s="621" t="s">
        <v>1498</v>
      </c>
      <c r="I57" s="585"/>
      <c r="J57" s="578"/>
      <c r="K57" s="588"/>
      <c r="L57" s="589"/>
      <c r="M57" s="590"/>
      <c r="N57" s="590"/>
      <c r="O57" s="590"/>
      <c r="P57" s="590"/>
      <c r="Q57" s="590"/>
      <c r="R57" s="590"/>
      <c r="S57" s="590"/>
      <c r="T57" s="590"/>
      <c r="U57" s="590"/>
      <c r="V57" s="591"/>
      <c r="W57" s="592"/>
    </row>
    <row r="58" spans="1:25" s="9" customFormat="1" ht="26.25" thickBot="1" x14ac:dyDescent="0.25">
      <c r="A58" s="1862" t="s">
        <v>1481</v>
      </c>
      <c r="B58" s="1849" t="s">
        <v>374</v>
      </c>
      <c r="C58" s="1897" t="s">
        <v>1741</v>
      </c>
      <c r="D58" s="1902" t="s">
        <v>1570</v>
      </c>
      <c r="E58" s="1902" t="s">
        <v>56</v>
      </c>
      <c r="F58" s="1902" t="s">
        <v>1742</v>
      </c>
      <c r="G58" s="1903" t="s">
        <v>1571</v>
      </c>
      <c r="H58" s="658" t="s">
        <v>1252</v>
      </c>
      <c r="I58" s="585">
        <v>43465</v>
      </c>
      <c r="J58" s="568"/>
      <c r="K58" s="579"/>
      <c r="L58" s="580"/>
      <c r="M58" s="580"/>
      <c r="N58" s="580"/>
      <c r="O58" s="580"/>
      <c r="P58" s="580"/>
      <c r="Q58" s="580"/>
      <c r="R58" s="580"/>
      <c r="S58" s="580"/>
      <c r="T58" s="580"/>
      <c r="U58" s="580"/>
      <c r="V58" s="571"/>
      <c r="Y58" s="1850" t="s">
        <v>2094</v>
      </c>
    </row>
    <row r="59" spans="1:25" s="9" customFormat="1" ht="39" thickBot="1" x14ac:dyDescent="0.25">
      <c r="A59" s="1862"/>
      <c r="B59" s="1849"/>
      <c r="C59" s="1897"/>
      <c r="D59" s="1902"/>
      <c r="E59" s="1902"/>
      <c r="F59" s="1902"/>
      <c r="G59" s="1903"/>
      <c r="H59" s="658" t="s">
        <v>1253</v>
      </c>
      <c r="I59" s="585">
        <v>43465</v>
      </c>
      <c r="J59" s="568"/>
      <c r="K59" s="572"/>
      <c r="L59" s="573"/>
      <c r="M59" s="573"/>
      <c r="N59" s="573"/>
      <c r="O59" s="573"/>
      <c r="P59" s="573"/>
      <c r="Q59" s="573"/>
      <c r="R59" s="573"/>
      <c r="S59" s="573"/>
      <c r="T59" s="573"/>
      <c r="U59" s="573"/>
      <c r="V59" s="574"/>
      <c r="Y59" s="1857"/>
    </row>
    <row r="60" spans="1:25" s="9" customFormat="1" ht="13.5" thickBot="1" x14ac:dyDescent="0.25">
      <c r="A60" s="1862"/>
      <c r="B60" s="1849"/>
      <c r="C60" s="1897"/>
      <c r="D60" s="1902"/>
      <c r="E60" s="1902"/>
      <c r="F60" s="1902"/>
      <c r="G60" s="1903"/>
      <c r="H60" s="621" t="s">
        <v>1495</v>
      </c>
      <c r="I60" s="634"/>
      <c r="J60" s="568"/>
      <c r="K60" s="572"/>
      <c r="L60" s="573"/>
      <c r="M60" s="573"/>
      <c r="N60" s="573"/>
      <c r="O60" s="573"/>
      <c r="P60" s="573"/>
      <c r="Q60" s="573"/>
      <c r="R60" s="573"/>
      <c r="S60" s="573"/>
      <c r="T60" s="573"/>
      <c r="U60" s="573"/>
      <c r="V60" s="574"/>
      <c r="Y60" s="1857"/>
    </row>
    <row r="61" spans="1:25" s="9" customFormat="1" ht="13.5" thickBot="1" x14ac:dyDescent="0.25">
      <c r="A61" s="1862"/>
      <c r="B61" s="1849"/>
      <c r="C61" s="1897" t="s">
        <v>1572</v>
      </c>
      <c r="D61" s="1902" t="s">
        <v>1573</v>
      </c>
      <c r="E61" s="1902" t="s">
        <v>1574</v>
      </c>
      <c r="F61" s="1902" t="s">
        <v>1743</v>
      </c>
      <c r="G61" s="1903" t="s">
        <v>1571</v>
      </c>
      <c r="H61" s="658" t="s">
        <v>1575</v>
      </c>
      <c r="I61" s="585">
        <v>43465</v>
      </c>
      <c r="J61" s="568"/>
      <c r="K61" s="572"/>
      <c r="L61" s="573"/>
      <c r="M61" s="573"/>
      <c r="N61" s="573"/>
      <c r="O61" s="573"/>
      <c r="P61" s="573"/>
      <c r="Q61" s="573"/>
      <c r="R61" s="573"/>
      <c r="S61" s="573"/>
      <c r="T61" s="573"/>
      <c r="U61" s="573"/>
      <c r="V61" s="574"/>
      <c r="Y61" s="1850"/>
    </row>
    <row r="62" spans="1:25" s="9" customFormat="1" ht="26.25" thickBot="1" x14ac:dyDescent="0.25">
      <c r="A62" s="1862"/>
      <c r="B62" s="1849"/>
      <c r="C62" s="1897"/>
      <c r="D62" s="1902"/>
      <c r="E62" s="1902"/>
      <c r="F62" s="1902"/>
      <c r="G62" s="1903"/>
      <c r="H62" s="658" t="s">
        <v>1576</v>
      </c>
      <c r="I62" s="585">
        <v>43465</v>
      </c>
      <c r="J62" s="568"/>
      <c r="K62" s="572"/>
      <c r="L62" s="573"/>
      <c r="M62" s="573"/>
      <c r="N62" s="573"/>
      <c r="O62" s="573"/>
      <c r="P62" s="573"/>
      <c r="Q62" s="573"/>
      <c r="R62" s="573"/>
      <c r="S62" s="573"/>
      <c r="T62" s="573"/>
      <c r="U62" s="573"/>
      <c r="V62" s="574"/>
      <c r="Y62" s="1857"/>
    </row>
    <row r="63" spans="1:25" s="9" customFormat="1" ht="26.25" thickBot="1" x14ac:dyDescent="0.25">
      <c r="A63" s="1862"/>
      <c r="B63" s="1849"/>
      <c r="C63" s="1897" t="s">
        <v>1796</v>
      </c>
      <c r="D63" s="1902" t="s">
        <v>1577</v>
      </c>
      <c r="E63" s="1902" t="s">
        <v>1578</v>
      </c>
      <c r="F63" s="1902" t="s">
        <v>1579</v>
      </c>
      <c r="G63" s="1903" t="s">
        <v>1571</v>
      </c>
      <c r="H63" s="658" t="s">
        <v>1580</v>
      </c>
      <c r="I63" s="585">
        <v>43465</v>
      </c>
      <c r="J63" s="568"/>
      <c r="K63" s="572"/>
      <c r="L63" s="573"/>
      <c r="M63" s="573"/>
      <c r="N63" s="573"/>
      <c r="O63" s="573"/>
      <c r="P63" s="573"/>
      <c r="Q63" s="573"/>
      <c r="R63" s="573"/>
      <c r="S63" s="573"/>
      <c r="T63" s="573"/>
      <c r="U63" s="573"/>
      <c r="V63" s="574"/>
      <c r="Y63" s="1850"/>
    </row>
    <row r="64" spans="1:25" s="9" customFormat="1" ht="39" thickBot="1" x14ac:dyDescent="0.25">
      <c r="A64" s="1862"/>
      <c r="B64" s="1849"/>
      <c r="C64" s="1897"/>
      <c r="D64" s="1902"/>
      <c r="E64" s="1902"/>
      <c r="F64" s="1902"/>
      <c r="G64" s="1903"/>
      <c r="H64" s="658" t="s">
        <v>1581</v>
      </c>
      <c r="I64" s="585">
        <v>43465</v>
      </c>
      <c r="J64" s="568"/>
      <c r="K64" s="572"/>
      <c r="L64" s="573"/>
      <c r="M64" s="573"/>
      <c r="N64" s="573"/>
      <c r="O64" s="573"/>
      <c r="P64" s="573"/>
      <c r="Q64" s="573"/>
      <c r="R64" s="573"/>
      <c r="S64" s="573"/>
      <c r="T64" s="573"/>
      <c r="U64" s="573"/>
      <c r="V64" s="574"/>
    </row>
    <row r="65" spans="1:22" s="9" customFormat="1" ht="26.25" thickBot="1" x14ac:dyDescent="0.25">
      <c r="A65" s="1862"/>
      <c r="B65" s="1849"/>
      <c r="C65" s="1897"/>
      <c r="D65" s="1902"/>
      <c r="E65" s="1902"/>
      <c r="F65" s="1902"/>
      <c r="G65" s="1903"/>
      <c r="H65" s="658" t="s">
        <v>2267</v>
      </c>
      <c r="I65" s="585">
        <v>43465</v>
      </c>
      <c r="J65" s="568"/>
      <c r="K65" s="572"/>
      <c r="L65" s="573"/>
      <c r="M65" s="573"/>
      <c r="N65" s="573"/>
      <c r="O65" s="573"/>
      <c r="P65" s="573"/>
      <c r="Q65" s="573"/>
      <c r="R65" s="573"/>
      <c r="S65" s="573"/>
      <c r="T65" s="573"/>
      <c r="U65" s="573"/>
      <c r="V65" s="574"/>
    </row>
    <row r="66" spans="1:22" s="9" customFormat="1" ht="13.5" thickBot="1" x14ac:dyDescent="0.25">
      <c r="A66" s="1862"/>
      <c r="B66" s="1849"/>
      <c r="C66" s="1897"/>
      <c r="D66" s="1902"/>
      <c r="E66" s="1902"/>
      <c r="F66" s="1902"/>
      <c r="G66" s="1903"/>
      <c r="H66" s="658" t="s">
        <v>1582</v>
      </c>
      <c r="I66" s="585"/>
      <c r="J66" s="568"/>
      <c r="K66" s="575"/>
      <c r="L66" s="576"/>
      <c r="M66" s="576"/>
      <c r="N66" s="576"/>
      <c r="O66" s="576"/>
      <c r="P66" s="576"/>
      <c r="Q66" s="576"/>
      <c r="R66" s="576"/>
      <c r="S66" s="576"/>
      <c r="T66" s="576"/>
      <c r="U66" s="576"/>
      <c r="V66" s="577"/>
    </row>
    <row r="67" spans="1:22" s="9" customFormat="1" ht="26.25" thickBot="1" x14ac:dyDescent="0.25">
      <c r="A67" s="1887" t="s">
        <v>1482</v>
      </c>
      <c r="B67" s="1849" t="s">
        <v>1583</v>
      </c>
      <c r="C67" s="1897" t="s">
        <v>1584</v>
      </c>
      <c r="D67" s="1901" t="s">
        <v>1585</v>
      </c>
      <c r="E67" s="1896" t="s">
        <v>1744</v>
      </c>
      <c r="F67" s="1896" t="s">
        <v>1745</v>
      </c>
      <c r="G67" s="1897" t="s">
        <v>1586</v>
      </c>
      <c r="H67" s="659" t="s">
        <v>1587</v>
      </c>
      <c r="I67" s="585">
        <v>43465</v>
      </c>
      <c r="J67" s="1844" t="s">
        <v>128</v>
      </c>
      <c r="K67" s="579"/>
      <c r="L67" s="580"/>
      <c r="M67" s="580"/>
      <c r="N67" s="580"/>
      <c r="O67" s="580"/>
      <c r="P67" s="580"/>
      <c r="Q67" s="580"/>
      <c r="R67" s="580"/>
      <c r="S67" s="580"/>
      <c r="T67" s="580"/>
      <c r="U67" s="580"/>
      <c r="V67" s="571"/>
    </row>
    <row r="68" spans="1:22" s="9" customFormat="1" ht="13.5" thickBot="1" x14ac:dyDescent="0.25">
      <c r="A68" s="1887"/>
      <c r="B68" s="1849"/>
      <c r="C68" s="1897"/>
      <c r="D68" s="1901"/>
      <c r="E68" s="1896"/>
      <c r="F68" s="1896"/>
      <c r="G68" s="1897"/>
      <c r="H68" s="659" t="s">
        <v>1588</v>
      </c>
      <c r="I68" s="585">
        <v>43466</v>
      </c>
      <c r="J68" s="1890"/>
      <c r="K68" s="572"/>
      <c r="L68" s="573"/>
      <c r="M68" s="573"/>
      <c r="N68" s="573"/>
      <c r="O68" s="573"/>
      <c r="P68" s="573"/>
      <c r="Q68" s="573"/>
      <c r="R68" s="573"/>
      <c r="S68" s="573"/>
      <c r="T68" s="573"/>
      <c r="U68" s="573"/>
      <c r="V68" s="574"/>
    </row>
    <row r="69" spans="1:22" s="9" customFormat="1" ht="13.5" thickBot="1" x14ac:dyDescent="0.25">
      <c r="A69" s="1887"/>
      <c r="B69" s="1849"/>
      <c r="C69" s="1897"/>
      <c r="D69" s="1901"/>
      <c r="E69" s="1896"/>
      <c r="F69" s="1896"/>
      <c r="G69" s="1897"/>
      <c r="H69" s="659" t="s">
        <v>1470</v>
      </c>
      <c r="I69" s="585">
        <v>43467</v>
      </c>
      <c r="J69" s="1891"/>
      <c r="K69" s="572"/>
      <c r="L69" s="573"/>
      <c r="M69" s="573"/>
      <c r="N69" s="573"/>
      <c r="O69" s="573"/>
      <c r="P69" s="573"/>
      <c r="Q69" s="573"/>
      <c r="R69" s="573"/>
      <c r="S69" s="573"/>
      <c r="T69" s="573"/>
      <c r="U69" s="573"/>
      <c r="V69" s="574"/>
    </row>
    <row r="70" spans="1:22" s="9" customFormat="1" ht="26.25" thickBot="1" x14ac:dyDescent="0.25">
      <c r="A70" s="1887"/>
      <c r="B70" s="1849"/>
      <c r="C70" s="1898" t="s">
        <v>1749</v>
      </c>
      <c r="D70" s="1899" t="s">
        <v>1589</v>
      </c>
      <c r="E70" s="1900" t="s">
        <v>1746</v>
      </c>
      <c r="F70" s="1900" t="s">
        <v>1747</v>
      </c>
      <c r="G70" s="1898" t="s">
        <v>1590</v>
      </c>
      <c r="H70" s="659" t="s">
        <v>2276</v>
      </c>
      <c r="I70" s="585">
        <v>43465</v>
      </c>
      <c r="J70" s="1844" t="s">
        <v>136</v>
      </c>
      <c r="K70" s="572"/>
      <c r="L70" s="573"/>
      <c r="M70" s="573"/>
      <c r="N70" s="573"/>
      <c r="O70" s="573"/>
      <c r="P70" s="573"/>
      <c r="Q70" s="573"/>
      <c r="R70" s="573"/>
      <c r="S70" s="573"/>
      <c r="T70" s="573"/>
      <c r="U70" s="573"/>
      <c r="V70" s="574"/>
    </row>
    <row r="71" spans="1:22" s="9" customFormat="1" ht="39" thickBot="1" x14ac:dyDescent="0.25">
      <c r="A71" s="1887"/>
      <c r="B71" s="1849"/>
      <c r="C71" s="1898"/>
      <c r="D71" s="1899"/>
      <c r="E71" s="1900"/>
      <c r="F71" s="1900"/>
      <c r="G71" s="1898"/>
      <c r="H71" s="659" t="s">
        <v>1477</v>
      </c>
      <c r="I71" s="585">
        <v>43465</v>
      </c>
      <c r="J71" s="1890"/>
      <c r="K71" s="572"/>
      <c r="L71" s="573"/>
      <c r="M71" s="573"/>
      <c r="N71" s="573"/>
      <c r="O71" s="573"/>
      <c r="P71" s="573"/>
      <c r="Q71" s="573"/>
      <c r="R71" s="573"/>
      <c r="S71" s="573"/>
      <c r="T71" s="573"/>
      <c r="U71" s="573"/>
      <c r="V71" s="574"/>
    </row>
    <row r="72" spans="1:22" s="9" customFormat="1" ht="39" thickBot="1" x14ac:dyDescent="0.25">
      <c r="A72" s="1887"/>
      <c r="B72" s="1849"/>
      <c r="C72" s="1898"/>
      <c r="D72" s="1899"/>
      <c r="E72" s="1900"/>
      <c r="F72" s="1900"/>
      <c r="G72" s="1898"/>
      <c r="H72" s="659" t="s">
        <v>139</v>
      </c>
      <c r="I72" s="585">
        <v>43465</v>
      </c>
      <c r="J72" s="1891"/>
      <c r="K72" s="572"/>
      <c r="L72" s="573"/>
      <c r="M72" s="573"/>
      <c r="N72" s="573"/>
      <c r="O72" s="573"/>
      <c r="P72" s="573"/>
      <c r="Q72" s="573"/>
      <c r="R72" s="573"/>
      <c r="S72" s="573"/>
      <c r="T72" s="573"/>
      <c r="U72" s="573"/>
      <c r="V72" s="574"/>
    </row>
    <row r="73" spans="1:22" s="9" customFormat="1" ht="39" thickBot="1" x14ac:dyDescent="0.25">
      <c r="A73" s="1887"/>
      <c r="B73" s="1849"/>
      <c r="C73" s="1897" t="s">
        <v>1471</v>
      </c>
      <c r="D73" s="1897" t="s">
        <v>141</v>
      </c>
      <c r="E73" s="1897" t="s">
        <v>1750</v>
      </c>
      <c r="F73" s="1897" t="s">
        <v>143</v>
      </c>
      <c r="G73" s="1897" t="s">
        <v>1592</v>
      </c>
      <c r="H73" s="660" t="s">
        <v>145</v>
      </c>
      <c r="I73" s="585">
        <v>43465</v>
      </c>
      <c r="J73" s="1842" t="s">
        <v>144</v>
      </c>
      <c r="K73" s="572"/>
      <c r="L73" s="573"/>
      <c r="M73" s="573"/>
      <c r="N73" s="573"/>
      <c r="O73" s="573"/>
      <c r="P73" s="573"/>
      <c r="Q73" s="573"/>
      <c r="R73" s="573"/>
      <c r="S73" s="573"/>
      <c r="T73" s="573"/>
      <c r="U73" s="573"/>
      <c r="V73" s="574"/>
    </row>
    <row r="74" spans="1:22" s="9" customFormat="1" ht="39" thickBot="1" x14ac:dyDescent="0.25">
      <c r="A74" s="1887"/>
      <c r="B74" s="1849"/>
      <c r="C74" s="1897"/>
      <c r="D74" s="1897"/>
      <c r="E74" s="1897"/>
      <c r="F74" s="1897"/>
      <c r="G74" s="1897"/>
      <c r="H74" s="660" t="s">
        <v>146</v>
      </c>
      <c r="I74" s="585">
        <v>43465</v>
      </c>
      <c r="J74" s="1842"/>
      <c r="K74" s="572"/>
      <c r="L74" s="573"/>
      <c r="M74" s="573"/>
      <c r="N74" s="573"/>
      <c r="O74" s="573"/>
      <c r="P74" s="573"/>
      <c r="Q74" s="573"/>
      <c r="R74" s="573"/>
      <c r="S74" s="573"/>
      <c r="T74" s="573"/>
      <c r="U74" s="573"/>
      <c r="V74" s="574"/>
    </row>
    <row r="75" spans="1:22" s="9" customFormat="1" ht="39" thickBot="1" x14ac:dyDescent="0.25">
      <c r="A75" s="1887"/>
      <c r="B75" s="1849"/>
      <c r="C75" s="1897"/>
      <c r="D75" s="1897"/>
      <c r="E75" s="1897"/>
      <c r="F75" s="1897"/>
      <c r="G75" s="1897"/>
      <c r="H75" s="660" t="s">
        <v>147</v>
      </c>
      <c r="I75" s="585">
        <v>43465</v>
      </c>
      <c r="J75" s="1842"/>
      <c r="K75" s="572"/>
      <c r="L75" s="573"/>
      <c r="M75" s="573"/>
      <c r="N75" s="573"/>
      <c r="O75" s="573"/>
      <c r="P75" s="573"/>
      <c r="Q75" s="573"/>
      <c r="R75" s="573"/>
      <c r="S75" s="573"/>
      <c r="T75" s="573"/>
      <c r="U75" s="573"/>
      <c r="V75" s="574"/>
    </row>
    <row r="76" spans="1:22" s="9" customFormat="1" ht="26.25" thickBot="1" x14ac:dyDescent="0.25">
      <c r="A76" s="1887"/>
      <c r="B76" s="1849"/>
      <c r="C76" s="1897"/>
      <c r="D76" s="1897"/>
      <c r="E76" s="1897"/>
      <c r="F76" s="1897"/>
      <c r="G76" s="1897"/>
      <c r="H76" s="660" t="s">
        <v>148</v>
      </c>
      <c r="I76" s="585">
        <v>43465</v>
      </c>
      <c r="J76" s="1842"/>
      <c r="K76" s="575"/>
      <c r="L76" s="576"/>
      <c r="M76" s="576"/>
      <c r="N76" s="576"/>
      <c r="O76" s="576"/>
      <c r="P76" s="576"/>
      <c r="Q76" s="576"/>
      <c r="R76" s="576"/>
      <c r="S76" s="576"/>
      <c r="T76" s="576"/>
      <c r="U76" s="576"/>
      <c r="V76" s="577"/>
    </row>
    <row r="77" spans="1:22" s="9" customFormat="1" ht="13.5" thickBot="1" x14ac:dyDescent="0.25">
      <c r="A77" s="1887"/>
      <c r="B77" s="1849"/>
      <c r="C77" s="1897"/>
      <c r="D77" s="1897"/>
      <c r="E77" s="1897"/>
      <c r="F77" s="1897"/>
      <c r="G77" s="1897"/>
      <c r="H77" s="659" t="s">
        <v>149</v>
      </c>
      <c r="I77" s="585">
        <v>43465</v>
      </c>
      <c r="J77" s="1842"/>
      <c r="K77" s="572"/>
      <c r="L77" s="573"/>
      <c r="M77" s="573"/>
      <c r="N77" s="573"/>
      <c r="O77" s="573"/>
      <c r="P77" s="573"/>
      <c r="Q77" s="573"/>
      <c r="R77" s="573"/>
      <c r="S77" s="573"/>
      <c r="T77" s="573"/>
      <c r="U77" s="573"/>
      <c r="V77" s="574"/>
    </row>
    <row r="78" spans="1:22" s="9" customFormat="1" ht="13.5" thickBot="1" x14ac:dyDescent="0.25">
      <c r="A78" s="1887"/>
      <c r="B78" s="1849"/>
      <c r="C78" s="1897"/>
      <c r="D78" s="1897"/>
      <c r="E78" s="1897"/>
      <c r="F78" s="1897"/>
      <c r="G78" s="1897"/>
      <c r="H78" s="659" t="s">
        <v>2273</v>
      </c>
      <c r="I78" s="585">
        <v>43465</v>
      </c>
      <c r="J78" s="1842"/>
      <c r="K78" s="575"/>
      <c r="L78" s="576"/>
      <c r="M78" s="576"/>
      <c r="N78" s="576"/>
      <c r="O78" s="576"/>
      <c r="P78" s="576"/>
      <c r="Q78" s="576"/>
      <c r="R78" s="576"/>
      <c r="S78" s="576"/>
      <c r="T78" s="576"/>
      <c r="U78" s="576"/>
      <c r="V78" s="577"/>
    </row>
    <row r="79" spans="1:22" s="9" customFormat="1" ht="26.25" thickBot="1" x14ac:dyDescent="0.25">
      <c r="A79" s="1887" t="s">
        <v>1482</v>
      </c>
      <c r="B79" s="1848" t="s">
        <v>1593</v>
      </c>
      <c r="C79" s="1849" t="s">
        <v>1646</v>
      </c>
      <c r="D79" s="1866">
        <v>0.85</v>
      </c>
      <c r="E79" s="1849" t="s">
        <v>1623</v>
      </c>
      <c r="F79" s="1849" t="s">
        <v>1624</v>
      </c>
      <c r="G79" s="1848" t="s">
        <v>27</v>
      </c>
      <c r="H79" s="621" t="s">
        <v>1625</v>
      </c>
      <c r="I79" s="585">
        <v>43465</v>
      </c>
      <c r="J79" s="568"/>
      <c r="K79" s="579"/>
      <c r="L79" s="580"/>
      <c r="M79" s="580"/>
      <c r="N79" s="580"/>
      <c r="O79" s="580"/>
      <c r="P79" s="580"/>
      <c r="Q79" s="580"/>
      <c r="R79" s="580"/>
      <c r="S79" s="580"/>
      <c r="T79" s="580"/>
      <c r="U79" s="580"/>
      <c r="V79" s="571"/>
    </row>
    <row r="80" spans="1:22" s="9" customFormat="1" ht="26.25" thickBot="1" x14ac:dyDescent="0.25">
      <c r="A80" s="1887"/>
      <c r="B80" s="1848"/>
      <c r="C80" s="1849"/>
      <c r="D80" s="1849"/>
      <c r="E80" s="1849"/>
      <c r="F80" s="1849"/>
      <c r="G80" s="1848"/>
      <c r="H80" s="621" t="s">
        <v>1736</v>
      </c>
      <c r="I80" s="585">
        <v>43465</v>
      </c>
      <c r="J80" s="568"/>
      <c r="K80" s="572"/>
      <c r="L80" s="573"/>
      <c r="M80" s="573"/>
      <c r="N80" s="573"/>
      <c r="O80" s="573"/>
      <c r="P80" s="573"/>
      <c r="Q80" s="573"/>
      <c r="R80" s="573"/>
      <c r="S80" s="573"/>
      <c r="T80" s="573"/>
      <c r="U80" s="573"/>
      <c r="V80" s="574"/>
    </row>
    <row r="81" spans="1:23" s="9" customFormat="1" ht="13.5" thickBot="1" x14ac:dyDescent="0.25">
      <c r="A81" s="1887"/>
      <c r="B81" s="1848"/>
      <c r="C81" s="1849"/>
      <c r="D81" s="1849"/>
      <c r="E81" s="1849"/>
      <c r="F81" s="1849"/>
      <c r="G81" s="1848"/>
      <c r="H81" s="621" t="s">
        <v>1594</v>
      </c>
      <c r="I81" s="585">
        <v>43465</v>
      </c>
      <c r="J81" s="568"/>
      <c r="K81" s="572"/>
      <c r="L81" s="573"/>
      <c r="M81" s="573"/>
      <c r="N81" s="573"/>
      <c r="O81" s="573"/>
      <c r="P81" s="573"/>
      <c r="Q81" s="573"/>
      <c r="R81" s="573"/>
      <c r="S81" s="573"/>
      <c r="T81" s="573"/>
      <c r="U81" s="573"/>
      <c r="V81" s="574"/>
    </row>
    <row r="82" spans="1:23" s="9" customFormat="1" ht="26.25" thickBot="1" x14ac:dyDescent="0.25">
      <c r="A82" s="1887" t="s">
        <v>1482</v>
      </c>
      <c r="B82" s="1848" t="s">
        <v>1583</v>
      </c>
      <c r="C82" s="1849" t="s">
        <v>1751</v>
      </c>
      <c r="D82" s="1866">
        <v>0.85</v>
      </c>
      <c r="E82" s="1849" t="s">
        <v>1649</v>
      </c>
      <c r="F82" s="1849" t="s">
        <v>1626</v>
      </c>
      <c r="G82" s="1848" t="s">
        <v>1595</v>
      </c>
      <c r="H82" s="661" t="s">
        <v>1650</v>
      </c>
      <c r="I82" s="578"/>
      <c r="J82" s="568"/>
      <c r="K82" s="572"/>
      <c r="L82" s="573"/>
      <c r="M82" s="573"/>
      <c r="N82" s="573"/>
      <c r="O82" s="573"/>
      <c r="P82" s="573"/>
      <c r="Q82" s="573"/>
      <c r="R82" s="573"/>
      <c r="S82" s="573"/>
      <c r="T82" s="573"/>
      <c r="U82" s="573"/>
      <c r="V82" s="574"/>
      <c r="W82" s="457"/>
    </row>
    <row r="83" spans="1:23" s="9" customFormat="1" ht="26.25" thickBot="1" x14ac:dyDescent="0.25">
      <c r="A83" s="1887"/>
      <c r="B83" s="1848"/>
      <c r="C83" s="1849"/>
      <c r="D83" s="1849"/>
      <c r="E83" s="1849"/>
      <c r="F83" s="1849"/>
      <c r="G83" s="1848"/>
      <c r="H83" s="661" t="s">
        <v>1627</v>
      </c>
      <c r="I83" s="578"/>
      <c r="J83" s="568"/>
      <c r="K83" s="572"/>
      <c r="L83" s="573"/>
      <c r="M83" s="573"/>
      <c r="N83" s="573"/>
      <c r="O83" s="573"/>
      <c r="P83" s="573"/>
      <c r="Q83" s="573"/>
      <c r="R83" s="573"/>
      <c r="S83" s="573"/>
      <c r="T83" s="573"/>
      <c r="U83" s="573"/>
      <c r="V83" s="574"/>
      <c r="W83" s="457"/>
    </row>
    <row r="84" spans="1:23" s="9" customFormat="1" ht="26.25" thickBot="1" x14ac:dyDescent="0.25">
      <c r="A84" s="1887"/>
      <c r="B84" s="1848"/>
      <c r="C84" s="1849"/>
      <c r="D84" s="1849"/>
      <c r="E84" s="1849"/>
      <c r="F84" s="1849"/>
      <c r="G84" s="1848"/>
      <c r="H84" s="621" t="s">
        <v>1651</v>
      </c>
      <c r="I84" s="578"/>
      <c r="J84" s="568"/>
      <c r="K84" s="572"/>
      <c r="L84" s="573"/>
      <c r="M84" s="573"/>
      <c r="N84" s="573"/>
      <c r="O84" s="573"/>
      <c r="P84" s="573"/>
      <c r="Q84" s="573"/>
      <c r="R84" s="573"/>
      <c r="S84" s="573"/>
      <c r="T84" s="573"/>
      <c r="U84" s="573"/>
      <c r="V84" s="574"/>
      <c r="W84" s="457"/>
    </row>
    <row r="85" spans="1:23" s="9" customFormat="1" ht="26.25" thickBot="1" x14ac:dyDescent="0.25">
      <c r="A85" s="1887"/>
      <c r="B85" s="1848"/>
      <c r="C85" s="1849"/>
      <c r="D85" s="1849"/>
      <c r="E85" s="1849"/>
      <c r="F85" s="1849"/>
      <c r="G85" s="1848"/>
      <c r="H85" s="621" t="s">
        <v>1652</v>
      </c>
      <c r="I85" s="578"/>
      <c r="J85" s="568"/>
      <c r="K85" s="572"/>
      <c r="L85" s="573"/>
      <c r="M85" s="573"/>
      <c r="N85" s="573"/>
      <c r="O85" s="573"/>
      <c r="P85" s="573"/>
      <c r="Q85" s="573"/>
      <c r="R85" s="573"/>
      <c r="S85" s="573"/>
      <c r="T85" s="573"/>
      <c r="U85" s="573"/>
      <c r="V85" s="574"/>
      <c r="W85" s="457"/>
    </row>
    <row r="86" spans="1:23" s="9" customFormat="1" ht="39" thickBot="1" x14ac:dyDescent="0.25">
      <c r="A86" s="1887"/>
      <c r="B86" s="1848"/>
      <c r="C86" s="1849"/>
      <c r="D86" s="1849"/>
      <c r="E86" s="1849"/>
      <c r="F86" s="1849"/>
      <c r="G86" s="1848"/>
      <c r="H86" s="661" t="s">
        <v>1653</v>
      </c>
      <c r="I86" s="578"/>
      <c r="J86" s="568"/>
      <c r="K86" s="572"/>
      <c r="L86" s="573"/>
      <c r="M86" s="573"/>
      <c r="N86" s="573"/>
      <c r="O86" s="573"/>
      <c r="P86" s="573"/>
      <c r="Q86" s="573"/>
      <c r="R86" s="573"/>
      <c r="S86" s="573"/>
      <c r="T86" s="573"/>
      <c r="U86" s="573"/>
      <c r="V86" s="574"/>
      <c r="W86" s="457"/>
    </row>
    <row r="87" spans="1:23" s="9" customFormat="1" ht="59.45" customHeight="1" thickBot="1" x14ac:dyDescent="0.25">
      <c r="A87" s="1887"/>
      <c r="B87" s="1848" t="s">
        <v>1583</v>
      </c>
      <c r="C87" s="1849" t="s">
        <v>1628</v>
      </c>
      <c r="D87" s="1866">
        <v>0.85</v>
      </c>
      <c r="E87" s="1849" t="s">
        <v>1654</v>
      </c>
      <c r="F87" s="1849" t="s">
        <v>1629</v>
      </c>
      <c r="G87" s="1848" t="s">
        <v>235</v>
      </c>
      <c r="H87" s="621" t="s">
        <v>1655</v>
      </c>
      <c r="I87" s="578"/>
      <c r="J87" s="568"/>
      <c r="K87" s="572"/>
      <c r="L87" s="573"/>
      <c r="M87" s="573"/>
      <c r="N87" s="573"/>
      <c r="O87" s="573"/>
      <c r="P87" s="573"/>
      <c r="Q87" s="573"/>
      <c r="R87" s="573"/>
      <c r="S87" s="573"/>
      <c r="T87" s="573"/>
      <c r="U87" s="573"/>
      <c r="V87" s="574"/>
      <c r="W87" s="457"/>
    </row>
    <row r="88" spans="1:23" s="9" customFormat="1" ht="59.45" customHeight="1" thickBot="1" x14ac:dyDescent="0.25">
      <c r="A88" s="1887"/>
      <c r="B88" s="1848"/>
      <c r="C88" s="1849"/>
      <c r="D88" s="1866"/>
      <c r="E88" s="1849"/>
      <c r="F88" s="1849"/>
      <c r="G88" s="1848"/>
      <c r="H88" s="621" t="s">
        <v>1656</v>
      </c>
      <c r="I88" s="578"/>
      <c r="J88" s="568"/>
      <c r="K88" s="572"/>
      <c r="L88" s="573"/>
      <c r="M88" s="573"/>
      <c r="N88" s="573"/>
      <c r="O88" s="573"/>
      <c r="P88" s="573"/>
      <c r="Q88" s="573"/>
      <c r="R88" s="573"/>
      <c r="S88" s="573"/>
      <c r="T88" s="573"/>
      <c r="U88" s="573"/>
      <c r="V88" s="574"/>
      <c r="W88" s="457"/>
    </row>
    <row r="89" spans="1:23" s="9" customFormat="1" ht="42" customHeight="1" thickBot="1" x14ac:dyDescent="0.25">
      <c r="A89" s="1886" t="s">
        <v>1482</v>
      </c>
      <c r="B89" s="1849" t="s">
        <v>1583</v>
      </c>
      <c r="C89" s="1849" t="s">
        <v>1752</v>
      </c>
      <c r="D89" s="1866">
        <v>0.6</v>
      </c>
      <c r="E89" s="1849" t="s">
        <v>1797</v>
      </c>
      <c r="F89" s="1849" t="s">
        <v>1753</v>
      </c>
      <c r="G89" s="1849" t="s">
        <v>1636</v>
      </c>
      <c r="H89" s="662" t="s">
        <v>164</v>
      </c>
      <c r="I89" s="585">
        <v>43190</v>
      </c>
      <c r="J89" s="586" t="s">
        <v>163</v>
      </c>
      <c r="K89" s="572"/>
      <c r="L89" s="573"/>
      <c r="M89" s="573"/>
      <c r="N89" s="573"/>
      <c r="O89" s="573"/>
      <c r="P89" s="573"/>
      <c r="Q89" s="573"/>
      <c r="R89" s="573"/>
      <c r="S89" s="573"/>
      <c r="T89" s="573"/>
      <c r="U89" s="573"/>
      <c r="V89" s="574"/>
      <c r="W89" s="457"/>
    </row>
    <row r="90" spans="1:23" s="9" customFormat="1" ht="42" customHeight="1" thickBot="1" x14ac:dyDescent="0.25">
      <c r="A90" s="1886"/>
      <c r="B90" s="1849"/>
      <c r="C90" s="1849"/>
      <c r="D90" s="1849"/>
      <c r="E90" s="1849"/>
      <c r="F90" s="1849"/>
      <c r="G90" s="1849"/>
      <c r="H90" s="662" t="s">
        <v>165</v>
      </c>
      <c r="I90" s="585">
        <v>43281</v>
      </c>
      <c r="J90" s="586"/>
      <c r="K90" s="572"/>
      <c r="L90" s="573"/>
      <c r="M90" s="573"/>
      <c r="N90" s="573"/>
      <c r="O90" s="573"/>
      <c r="P90" s="573"/>
      <c r="Q90" s="573"/>
      <c r="R90" s="573"/>
      <c r="S90" s="573"/>
      <c r="T90" s="573"/>
      <c r="U90" s="573"/>
      <c r="V90" s="574"/>
      <c r="W90" s="457"/>
    </row>
    <row r="91" spans="1:23" s="9" customFormat="1" ht="36.6" customHeight="1" thickBot="1" x14ac:dyDescent="0.25">
      <c r="A91" s="1886"/>
      <c r="B91" s="1848" t="s">
        <v>1583</v>
      </c>
      <c r="C91" s="1849" t="s">
        <v>1270</v>
      </c>
      <c r="D91" s="1849" t="s">
        <v>166</v>
      </c>
      <c r="E91" s="1849" t="s">
        <v>1700</v>
      </c>
      <c r="F91" s="1849" t="s">
        <v>1754</v>
      </c>
      <c r="G91" s="1848" t="s">
        <v>1636</v>
      </c>
      <c r="H91" s="664" t="s">
        <v>170</v>
      </c>
      <c r="I91" s="585">
        <v>43100</v>
      </c>
      <c r="J91" s="1892" t="s">
        <v>2350</v>
      </c>
      <c r="K91" s="572"/>
      <c r="L91" s="573"/>
      <c r="M91" s="573"/>
      <c r="N91" s="573"/>
      <c r="O91" s="573"/>
      <c r="P91" s="573"/>
      <c r="Q91" s="573"/>
      <c r="R91" s="573"/>
      <c r="S91" s="573"/>
      <c r="T91" s="573"/>
      <c r="U91" s="573"/>
      <c r="V91" s="574"/>
      <c r="W91" s="457"/>
    </row>
    <row r="92" spans="1:23" s="9" customFormat="1" ht="36.6" customHeight="1" thickBot="1" x14ac:dyDescent="0.25">
      <c r="A92" s="1886"/>
      <c r="B92" s="1848"/>
      <c r="C92" s="1849"/>
      <c r="D92" s="1849"/>
      <c r="E92" s="1849"/>
      <c r="F92" s="1849"/>
      <c r="G92" s="1848"/>
      <c r="H92" s="664" t="s">
        <v>172</v>
      </c>
      <c r="I92" s="634" t="s">
        <v>174</v>
      </c>
      <c r="J92" s="1893"/>
      <c r="K92" s="572"/>
      <c r="L92" s="573"/>
      <c r="M92" s="573"/>
      <c r="N92" s="573"/>
      <c r="O92" s="573"/>
      <c r="P92" s="573"/>
      <c r="Q92" s="573"/>
      <c r="R92" s="573"/>
      <c r="S92" s="573"/>
      <c r="T92" s="573"/>
      <c r="U92" s="573"/>
      <c r="V92" s="574"/>
      <c r="W92" s="457"/>
    </row>
    <row r="93" spans="1:23" s="9" customFormat="1" ht="36.6" customHeight="1" thickBot="1" x14ac:dyDescent="0.25">
      <c r="A93" s="1886"/>
      <c r="B93" s="1848"/>
      <c r="C93" s="1849"/>
      <c r="D93" s="1849"/>
      <c r="E93" s="1849"/>
      <c r="F93" s="1849"/>
      <c r="G93" s="1848"/>
      <c r="H93" s="664" t="s">
        <v>173</v>
      </c>
      <c r="I93" s="634" t="s">
        <v>174</v>
      </c>
      <c r="J93" s="1894"/>
      <c r="K93" s="572"/>
      <c r="L93" s="573"/>
      <c r="M93" s="573"/>
      <c r="N93" s="573"/>
      <c r="O93" s="573"/>
      <c r="P93" s="573"/>
      <c r="Q93" s="573"/>
      <c r="R93" s="573"/>
      <c r="S93" s="573"/>
      <c r="T93" s="573"/>
      <c r="U93" s="573"/>
      <c r="V93" s="574"/>
      <c r="W93" s="457"/>
    </row>
    <row r="94" spans="1:23" s="9" customFormat="1" ht="22.9" customHeight="1" thickBot="1" x14ac:dyDescent="0.25">
      <c r="A94" s="1886"/>
      <c r="B94" s="1849" t="s">
        <v>1583</v>
      </c>
      <c r="C94" s="1849" t="s">
        <v>1271</v>
      </c>
      <c r="D94" s="1849" t="s">
        <v>1755</v>
      </c>
      <c r="E94" s="1849" t="s">
        <v>1798</v>
      </c>
      <c r="F94" s="1849" t="s">
        <v>1701</v>
      </c>
      <c r="G94" s="1849" t="s">
        <v>1636</v>
      </c>
      <c r="H94" s="664" t="s">
        <v>180</v>
      </c>
      <c r="I94" s="634" t="s">
        <v>182</v>
      </c>
      <c r="J94" s="1844" t="s">
        <v>179</v>
      </c>
      <c r="K94" s="572"/>
      <c r="L94" s="573"/>
      <c r="M94" s="573"/>
      <c r="N94" s="573"/>
      <c r="O94" s="573"/>
      <c r="P94" s="573"/>
      <c r="Q94" s="573"/>
      <c r="R94" s="573"/>
      <c r="S94" s="573"/>
      <c r="T94" s="573"/>
      <c r="U94" s="573"/>
      <c r="V94" s="574"/>
      <c r="W94" s="457"/>
    </row>
    <row r="95" spans="1:23" s="9" customFormat="1" ht="22.9" customHeight="1" thickBot="1" x14ac:dyDescent="0.25">
      <c r="A95" s="1886"/>
      <c r="B95" s="1849"/>
      <c r="C95" s="1849"/>
      <c r="D95" s="1849"/>
      <c r="E95" s="1849"/>
      <c r="F95" s="1849"/>
      <c r="G95" s="1849"/>
      <c r="H95" s="664" t="s">
        <v>172</v>
      </c>
      <c r="I95" s="634" t="s">
        <v>183</v>
      </c>
      <c r="J95" s="1890"/>
      <c r="K95" s="572"/>
      <c r="L95" s="573"/>
      <c r="M95" s="573"/>
      <c r="N95" s="573"/>
      <c r="O95" s="573"/>
      <c r="P95" s="573"/>
      <c r="Q95" s="573"/>
      <c r="R95" s="573"/>
      <c r="S95" s="573"/>
      <c r="T95" s="573"/>
      <c r="U95" s="573"/>
      <c r="V95" s="574"/>
      <c r="W95" s="457"/>
    </row>
    <row r="96" spans="1:23" s="9" customFormat="1" ht="22.9" customHeight="1" thickBot="1" x14ac:dyDescent="0.25">
      <c r="A96" s="1886"/>
      <c r="B96" s="1849"/>
      <c r="C96" s="1849"/>
      <c r="D96" s="1849"/>
      <c r="E96" s="1849"/>
      <c r="F96" s="1849"/>
      <c r="G96" s="1849"/>
      <c r="H96" s="664" t="s">
        <v>173</v>
      </c>
      <c r="I96" s="634" t="s">
        <v>182</v>
      </c>
      <c r="J96" s="1891"/>
      <c r="K96" s="572"/>
      <c r="L96" s="573"/>
      <c r="M96" s="573"/>
      <c r="N96" s="573"/>
      <c r="O96" s="573"/>
      <c r="P96" s="573"/>
      <c r="Q96" s="573"/>
      <c r="R96" s="573"/>
      <c r="S96" s="573"/>
      <c r="T96" s="573"/>
      <c r="U96" s="573"/>
      <c r="V96" s="574"/>
      <c r="W96" s="457"/>
    </row>
    <row r="97" spans="1:23" s="9" customFormat="1" ht="22.9" customHeight="1" thickBot="1" x14ac:dyDescent="0.25">
      <c r="A97" s="1886"/>
      <c r="B97" s="1848" t="s">
        <v>1583</v>
      </c>
      <c r="C97" s="1848" t="s">
        <v>1272</v>
      </c>
      <c r="D97" s="1848" t="s">
        <v>1756</v>
      </c>
      <c r="E97" s="1848" t="s">
        <v>1702</v>
      </c>
      <c r="F97" s="1848" t="s">
        <v>1799</v>
      </c>
      <c r="G97" s="1849" t="s">
        <v>1636</v>
      </c>
      <c r="H97" s="664" t="s">
        <v>180</v>
      </c>
      <c r="I97" s="585">
        <v>43100</v>
      </c>
      <c r="J97" s="1844" t="s">
        <v>179</v>
      </c>
      <c r="K97" s="572"/>
      <c r="L97" s="573"/>
      <c r="M97" s="573"/>
      <c r="N97" s="573"/>
      <c r="O97" s="573"/>
      <c r="P97" s="573"/>
      <c r="Q97" s="573"/>
      <c r="R97" s="573"/>
      <c r="S97" s="573"/>
      <c r="T97" s="573"/>
      <c r="U97" s="573"/>
      <c r="V97" s="574"/>
      <c r="W97" s="457"/>
    </row>
    <row r="98" spans="1:23" s="9" customFormat="1" ht="22.9" customHeight="1" thickBot="1" x14ac:dyDescent="0.25">
      <c r="A98" s="1886"/>
      <c r="B98" s="1848"/>
      <c r="C98" s="1848"/>
      <c r="D98" s="1848"/>
      <c r="E98" s="1848"/>
      <c r="F98" s="1848"/>
      <c r="G98" s="1849"/>
      <c r="H98" s="664" t="s">
        <v>172</v>
      </c>
      <c r="I98" s="634" t="s">
        <v>183</v>
      </c>
      <c r="J98" s="1890"/>
      <c r="K98" s="572"/>
      <c r="L98" s="573"/>
      <c r="M98" s="573"/>
      <c r="N98" s="573"/>
      <c r="O98" s="573"/>
      <c r="P98" s="573"/>
      <c r="Q98" s="573"/>
      <c r="R98" s="573"/>
      <c r="S98" s="573"/>
      <c r="T98" s="573"/>
      <c r="U98" s="573"/>
      <c r="V98" s="574"/>
      <c r="W98" s="457"/>
    </row>
    <row r="99" spans="1:23" s="9" customFormat="1" ht="22.9" customHeight="1" thickBot="1" x14ac:dyDescent="0.25">
      <c r="A99" s="1886"/>
      <c r="B99" s="1848"/>
      <c r="C99" s="1848"/>
      <c r="D99" s="1848"/>
      <c r="E99" s="1848"/>
      <c r="F99" s="1848"/>
      <c r="G99" s="1849"/>
      <c r="H99" s="664" t="s">
        <v>173</v>
      </c>
      <c r="I99" s="634" t="s">
        <v>182</v>
      </c>
      <c r="J99" s="1891"/>
      <c r="K99" s="572"/>
      <c r="L99" s="573"/>
      <c r="M99" s="573"/>
      <c r="N99" s="573"/>
      <c r="O99" s="573"/>
      <c r="P99" s="573"/>
      <c r="Q99" s="573"/>
      <c r="R99" s="573"/>
      <c r="S99" s="573"/>
      <c r="T99" s="573"/>
      <c r="U99" s="573"/>
      <c r="V99" s="574"/>
      <c r="W99" s="457"/>
    </row>
    <row r="100" spans="1:23" s="9" customFormat="1" ht="42" customHeight="1" thickBot="1" x14ac:dyDescent="0.25">
      <c r="A100" s="1886"/>
      <c r="B100" s="1848" t="s">
        <v>1583</v>
      </c>
      <c r="C100" s="1848" t="s">
        <v>1273</v>
      </c>
      <c r="D100" s="1848" t="s">
        <v>1757</v>
      </c>
      <c r="E100" s="1848" t="s">
        <v>1758</v>
      </c>
      <c r="F100" s="1848" t="s">
        <v>190</v>
      </c>
      <c r="G100" s="1848" t="s">
        <v>1636</v>
      </c>
      <c r="H100" s="664" t="s">
        <v>227</v>
      </c>
      <c r="I100" s="585">
        <v>43100</v>
      </c>
      <c r="J100" s="1844" t="s">
        <v>226</v>
      </c>
      <c r="K100" s="572"/>
      <c r="L100" s="573"/>
      <c r="M100" s="573"/>
      <c r="N100" s="573"/>
      <c r="O100" s="573"/>
      <c r="P100" s="573"/>
      <c r="Q100" s="573"/>
      <c r="R100" s="573"/>
      <c r="S100" s="573"/>
      <c r="T100" s="573"/>
      <c r="U100" s="573"/>
      <c r="V100" s="574"/>
      <c r="W100" s="457"/>
    </row>
    <row r="101" spans="1:23" s="9" customFormat="1" ht="42" customHeight="1" thickBot="1" x14ac:dyDescent="0.25">
      <c r="A101" s="1886"/>
      <c r="B101" s="1848"/>
      <c r="C101" s="1848"/>
      <c r="D101" s="1848"/>
      <c r="E101" s="1848"/>
      <c r="F101" s="1848"/>
      <c r="G101" s="1848"/>
      <c r="H101" s="664" t="s">
        <v>229</v>
      </c>
      <c r="I101" s="634" t="s">
        <v>183</v>
      </c>
      <c r="J101" s="1890"/>
      <c r="K101" s="572"/>
      <c r="L101" s="573"/>
      <c r="M101" s="573"/>
      <c r="N101" s="573"/>
      <c r="O101" s="573"/>
      <c r="P101" s="573"/>
      <c r="Q101" s="573"/>
      <c r="R101" s="573"/>
      <c r="S101" s="573"/>
      <c r="T101" s="573"/>
      <c r="U101" s="573"/>
      <c r="V101" s="574"/>
      <c r="W101" s="457"/>
    </row>
    <row r="102" spans="1:23" s="9" customFormat="1" ht="42" customHeight="1" thickBot="1" x14ac:dyDescent="0.25">
      <c r="A102" s="1886"/>
      <c r="B102" s="1848"/>
      <c r="C102" s="1848"/>
      <c r="D102" s="1848"/>
      <c r="E102" s="1848"/>
      <c r="F102" s="1848"/>
      <c r="G102" s="1848"/>
      <c r="H102" s="664" t="s">
        <v>230</v>
      </c>
      <c r="I102" s="634" t="s">
        <v>182</v>
      </c>
      <c r="J102" s="1891"/>
      <c r="K102" s="572"/>
      <c r="L102" s="573"/>
      <c r="M102" s="573"/>
      <c r="N102" s="573"/>
      <c r="O102" s="573"/>
      <c r="P102" s="573"/>
      <c r="Q102" s="573"/>
      <c r="R102" s="573"/>
      <c r="S102" s="573"/>
      <c r="T102" s="573"/>
      <c r="U102" s="573"/>
      <c r="V102" s="574"/>
      <c r="W102" s="457"/>
    </row>
    <row r="103" spans="1:23" s="9" customFormat="1" ht="87" customHeight="1" thickBot="1" x14ac:dyDescent="0.25">
      <c r="A103" s="1886"/>
      <c r="B103" s="682" t="s">
        <v>1583</v>
      </c>
      <c r="C103" s="682" t="s">
        <v>1759</v>
      </c>
      <c r="D103" s="682" t="s">
        <v>1703</v>
      </c>
      <c r="E103" s="682" t="s">
        <v>222</v>
      </c>
      <c r="F103" s="682" t="s">
        <v>192</v>
      </c>
      <c r="G103" s="682" t="s">
        <v>1636</v>
      </c>
      <c r="H103" s="664" t="s">
        <v>194</v>
      </c>
      <c r="I103" s="585" t="s">
        <v>183</v>
      </c>
      <c r="J103" s="587" t="s">
        <v>193</v>
      </c>
      <c r="K103" s="572"/>
      <c r="L103" s="573"/>
      <c r="M103" s="573"/>
      <c r="N103" s="573"/>
      <c r="O103" s="573"/>
      <c r="P103" s="573"/>
      <c r="Q103" s="573"/>
      <c r="R103" s="573"/>
      <c r="S103" s="573"/>
      <c r="T103" s="573"/>
      <c r="U103" s="573"/>
      <c r="V103" s="574"/>
      <c r="W103" s="457"/>
    </row>
    <row r="104" spans="1:23" s="9" customFormat="1" ht="35.450000000000003" customHeight="1" thickBot="1" x14ac:dyDescent="0.25">
      <c r="A104" s="1886"/>
      <c r="B104" s="1849" t="s">
        <v>1583</v>
      </c>
      <c r="C104" s="1849" t="s">
        <v>1800</v>
      </c>
      <c r="D104" s="1849" t="s">
        <v>1596</v>
      </c>
      <c r="E104" s="1895" t="s">
        <v>1760</v>
      </c>
      <c r="F104" s="1849" t="s">
        <v>197</v>
      </c>
      <c r="G104" s="1849" t="s">
        <v>1636</v>
      </c>
      <c r="H104" s="664" t="s">
        <v>199</v>
      </c>
      <c r="I104" s="585">
        <v>43190</v>
      </c>
      <c r="J104" s="1844" t="s">
        <v>198</v>
      </c>
      <c r="K104" s="572"/>
      <c r="L104" s="573"/>
      <c r="M104" s="573"/>
      <c r="N104" s="573"/>
      <c r="O104" s="573"/>
      <c r="P104" s="573"/>
      <c r="Q104" s="573"/>
      <c r="R104" s="573"/>
      <c r="S104" s="573"/>
      <c r="T104" s="573"/>
      <c r="U104" s="573"/>
      <c r="V104" s="574"/>
      <c r="W104" s="457"/>
    </row>
    <row r="105" spans="1:23" s="9" customFormat="1" ht="35.450000000000003" customHeight="1" thickBot="1" x14ac:dyDescent="0.25">
      <c r="A105" s="1886"/>
      <c r="B105" s="1849"/>
      <c r="C105" s="1849"/>
      <c r="D105" s="1849"/>
      <c r="E105" s="1895"/>
      <c r="F105" s="1849"/>
      <c r="G105" s="1849"/>
      <c r="H105" s="664" t="s">
        <v>200</v>
      </c>
      <c r="I105" s="585">
        <v>43220</v>
      </c>
      <c r="J105" s="1891"/>
      <c r="K105" s="572"/>
      <c r="L105" s="573"/>
      <c r="M105" s="573"/>
      <c r="N105" s="573"/>
      <c r="O105" s="573"/>
      <c r="P105" s="573"/>
      <c r="Q105" s="573"/>
      <c r="R105" s="573"/>
      <c r="S105" s="573"/>
      <c r="T105" s="573"/>
      <c r="U105" s="573"/>
      <c r="V105" s="574"/>
      <c r="W105" s="457"/>
    </row>
    <row r="106" spans="1:23" s="9" customFormat="1" ht="15.6" customHeight="1" thickBot="1" x14ac:dyDescent="0.25">
      <c r="A106" s="1886"/>
      <c r="B106" s="1848" t="s">
        <v>1583</v>
      </c>
      <c r="C106" s="1848" t="s">
        <v>1801</v>
      </c>
      <c r="D106" s="1848" t="s">
        <v>1802</v>
      </c>
      <c r="E106" s="1848" t="s">
        <v>1803</v>
      </c>
      <c r="F106" s="1848" t="s">
        <v>1597</v>
      </c>
      <c r="G106" s="1848" t="s">
        <v>1636</v>
      </c>
      <c r="H106" s="664" t="s">
        <v>205</v>
      </c>
      <c r="I106" s="585">
        <v>43159</v>
      </c>
      <c r="J106" s="1892" t="s">
        <v>1598</v>
      </c>
      <c r="K106" s="572"/>
      <c r="L106" s="573"/>
      <c r="M106" s="573"/>
      <c r="N106" s="573"/>
      <c r="O106" s="573"/>
      <c r="P106" s="573"/>
      <c r="Q106" s="573"/>
      <c r="R106" s="573"/>
      <c r="S106" s="573"/>
      <c r="T106" s="573"/>
      <c r="U106" s="573"/>
      <c r="V106" s="574"/>
      <c r="W106" s="457"/>
    </row>
    <row r="107" spans="1:23" s="9" customFormat="1" ht="15.6" customHeight="1" thickBot="1" x14ac:dyDescent="0.25">
      <c r="A107" s="1886"/>
      <c r="B107" s="1848"/>
      <c r="C107" s="1848"/>
      <c r="D107" s="1848"/>
      <c r="E107" s="1848"/>
      <c r="F107" s="1848"/>
      <c r="G107" s="1848"/>
      <c r="H107" s="664" t="s">
        <v>207</v>
      </c>
      <c r="I107" s="585">
        <v>43281</v>
      </c>
      <c r="J107" s="1893"/>
      <c r="K107" s="572"/>
      <c r="L107" s="573"/>
      <c r="M107" s="573"/>
      <c r="N107" s="573"/>
      <c r="O107" s="573"/>
      <c r="P107" s="573"/>
      <c r="Q107" s="573"/>
      <c r="R107" s="573"/>
      <c r="S107" s="573"/>
      <c r="T107" s="573"/>
      <c r="U107" s="573"/>
      <c r="V107" s="574"/>
      <c r="W107" s="457"/>
    </row>
    <row r="108" spans="1:23" s="9" customFormat="1" ht="15.6" customHeight="1" thickBot="1" x14ac:dyDescent="0.25">
      <c r="A108" s="1886"/>
      <c r="B108" s="1848"/>
      <c r="C108" s="1848"/>
      <c r="D108" s="1848"/>
      <c r="E108" s="1848"/>
      <c r="F108" s="1848"/>
      <c r="G108" s="1848"/>
      <c r="H108" s="664" t="s">
        <v>208</v>
      </c>
      <c r="I108" s="585">
        <v>43343</v>
      </c>
      <c r="J108" s="1893"/>
      <c r="K108" s="572"/>
      <c r="L108" s="573"/>
      <c r="M108" s="573"/>
      <c r="N108" s="573"/>
      <c r="O108" s="573"/>
      <c r="P108" s="573"/>
      <c r="Q108" s="573"/>
      <c r="R108" s="573"/>
      <c r="S108" s="573"/>
      <c r="T108" s="573"/>
      <c r="U108" s="573"/>
      <c r="V108" s="574"/>
      <c r="W108" s="457"/>
    </row>
    <row r="109" spans="1:23" s="9" customFormat="1" ht="15.6" customHeight="1" thickBot="1" x14ac:dyDescent="0.25">
      <c r="A109" s="1886"/>
      <c r="B109" s="1848"/>
      <c r="C109" s="1848"/>
      <c r="D109" s="1848"/>
      <c r="E109" s="1848"/>
      <c r="F109" s="1848"/>
      <c r="G109" s="1848"/>
      <c r="H109" s="664" t="s">
        <v>209</v>
      </c>
      <c r="I109" s="585">
        <v>43404</v>
      </c>
      <c r="J109" s="1893"/>
      <c r="K109" s="572"/>
      <c r="L109" s="573"/>
      <c r="M109" s="573"/>
      <c r="N109" s="573"/>
      <c r="O109" s="573"/>
      <c r="P109" s="573"/>
      <c r="Q109" s="573"/>
      <c r="R109" s="573"/>
      <c r="S109" s="573"/>
      <c r="T109" s="573"/>
      <c r="U109" s="573"/>
      <c r="V109" s="574"/>
      <c r="W109" s="457"/>
    </row>
    <row r="110" spans="1:23" s="9" customFormat="1" ht="15.6" customHeight="1" thickBot="1" x14ac:dyDescent="0.25">
      <c r="A110" s="1886"/>
      <c r="B110" s="1848"/>
      <c r="C110" s="1848"/>
      <c r="D110" s="1848"/>
      <c r="E110" s="1848"/>
      <c r="F110" s="1848"/>
      <c r="G110" s="1848"/>
      <c r="H110" s="664" t="s">
        <v>210</v>
      </c>
      <c r="I110" s="585">
        <v>43465</v>
      </c>
      <c r="J110" s="1894"/>
      <c r="K110" s="572"/>
      <c r="L110" s="573"/>
      <c r="M110" s="573"/>
      <c r="N110" s="573"/>
      <c r="O110" s="573"/>
      <c r="P110" s="573"/>
      <c r="Q110" s="573"/>
      <c r="R110" s="573"/>
      <c r="S110" s="573"/>
      <c r="T110" s="573"/>
      <c r="U110" s="573"/>
      <c r="V110" s="574"/>
      <c r="W110" s="457"/>
    </row>
    <row r="111" spans="1:23" s="9" customFormat="1" ht="19.899999999999999" customHeight="1" thickBot="1" x14ac:dyDescent="0.25">
      <c r="A111" s="1886"/>
      <c r="B111" s="1849" t="s">
        <v>1583</v>
      </c>
      <c r="C111" s="1849" t="s">
        <v>1267</v>
      </c>
      <c r="D111" s="1849" t="s">
        <v>1704</v>
      </c>
      <c r="E111" s="1849" t="s">
        <v>1803</v>
      </c>
      <c r="F111" s="1849" t="s">
        <v>1705</v>
      </c>
      <c r="G111" s="1849" t="s">
        <v>1636</v>
      </c>
      <c r="H111" s="664" t="s">
        <v>212</v>
      </c>
      <c r="I111" s="585">
        <v>43465</v>
      </c>
      <c r="J111" s="1892" t="s">
        <v>211</v>
      </c>
      <c r="K111" s="572"/>
      <c r="L111" s="573"/>
      <c r="M111" s="573"/>
      <c r="N111" s="573"/>
      <c r="O111" s="573"/>
      <c r="P111" s="573"/>
      <c r="Q111" s="573"/>
      <c r="R111" s="573"/>
      <c r="S111" s="573"/>
      <c r="T111" s="573"/>
      <c r="U111" s="573"/>
      <c r="V111" s="574"/>
      <c r="W111" s="457"/>
    </row>
    <row r="112" spans="1:23" s="9" customFormat="1" ht="19.899999999999999" customHeight="1" thickBot="1" x14ac:dyDescent="0.25">
      <c r="A112" s="1886"/>
      <c r="B112" s="1849"/>
      <c r="C112" s="1849"/>
      <c r="D112" s="1849"/>
      <c r="E112" s="1849"/>
      <c r="F112" s="1849"/>
      <c r="G112" s="1849"/>
      <c r="H112" s="664" t="s">
        <v>214</v>
      </c>
      <c r="I112" s="585">
        <v>43465</v>
      </c>
      <c r="J112" s="1893"/>
      <c r="K112" s="572"/>
      <c r="L112" s="573"/>
      <c r="M112" s="573"/>
      <c r="N112" s="573"/>
      <c r="O112" s="573"/>
      <c r="P112" s="573"/>
      <c r="Q112" s="573"/>
      <c r="R112" s="573"/>
      <c r="S112" s="573"/>
      <c r="T112" s="573"/>
      <c r="U112" s="573"/>
      <c r="V112" s="574"/>
      <c r="W112" s="457"/>
    </row>
    <row r="113" spans="1:23" s="9" customFormat="1" ht="19.899999999999999" customHeight="1" thickBot="1" x14ac:dyDescent="0.25">
      <c r="A113" s="1886"/>
      <c r="B113" s="1849"/>
      <c r="C113" s="1849"/>
      <c r="D113" s="1849"/>
      <c r="E113" s="1849"/>
      <c r="F113" s="1849"/>
      <c r="G113" s="1849"/>
      <c r="H113" s="664" t="s">
        <v>213</v>
      </c>
      <c r="I113" s="585">
        <v>43455</v>
      </c>
      <c r="J113" s="1894"/>
      <c r="K113" s="572"/>
      <c r="L113" s="573"/>
      <c r="M113" s="573"/>
      <c r="N113" s="573"/>
      <c r="O113" s="573"/>
      <c r="P113" s="573"/>
      <c r="Q113" s="573"/>
      <c r="R113" s="573"/>
      <c r="S113" s="573"/>
      <c r="T113" s="573"/>
      <c r="U113" s="573"/>
      <c r="V113" s="574"/>
      <c r="W113" s="457"/>
    </row>
    <row r="114" spans="1:23" s="9" customFormat="1" ht="32.450000000000003" customHeight="1" thickBot="1" x14ac:dyDescent="0.25">
      <c r="A114" s="1886"/>
      <c r="B114" s="1848" t="s">
        <v>1583</v>
      </c>
      <c r="C114" s="1848" t="s">
        <v>1268</v>
      </c>
      <c r="D114" s="1849" t="s">
        <v>1706</v>
      </c>
      <c r="E114" s="1849" t="s">
        <v>1803</v>
      </c>
      <c r="F114" s="1849" t="s">
        <v>1707</v>
      </c>
      <c r="G114" s="1848" t="s">
        <v>1636</v>
      </c>
      <c r="H114" s="664" t="s">
        <v>216</v>
      </c>
      <c r="I114" s="585">
        <v>43465</v>
      </c>
      <c r="J114" s="1892" t="s">
        <v>215</v>
      </c>
      <c r="K114" s="572"/>
      <c r="L114" s="573"/>
      <c r="M114" s="573"/>
      <c r="N114" s="573"/>
      <c r="O114" s="573"/>
      <c r="P114" s="573"/>
      <c r="Q114" s="573"/>
      <c r="R114" s="573"/>
      <c r="S114" s="573"/>
      <c r="T114" s="573"/>
      <c r="U114" s="573"/>
      <c r="V114" s="574"/>
      <c r="W114" s="457"/>
    </row>
    <row r="115" spans="1:23" s="9" customFormat="1" ht="32.450000000000003" customHeight="1" thickBot="1" x14ac:dyDescent="0.25">
      <c r="A115" s="1886"/>
      <c r="B115" s="1848"/>
      <c r="C115" s="1848"/>
      <c r="D115" s="1849"/>
      <c r="E115" s="1849"/>
      <c r="F115" s="1849"/>
      <c r="G115" s="1848"/>
      <c r="H115" s="662" t="s">
        <v>217</v>
      </c>
      <c r="I115" s="585">
        <v>43465</v>
      </c>
      <c r="J115" s="1894"/>
      <c r="K115" s="572"/>
      <c r="L115" s="573"/>
      <c r="M115" s="573"/>
      <c r="N115" s="573"/>
      <c r="O115" s="573"/>
      <c r="P115" s="573"/>
      <c r="Q115" s="573"/>
      <c r="R115" s="573"/>
      <c r="S115" s="573"/>
      <c r="T115" s="573"/>
      <c r="U115" s="573"/>
      <c r="V115" s="574"/>
      <c r="W115" s="457"/>
    </row>
    <row r="116" spans="1:23" s="9" customFormat="1" ht="37.5" customHeight="1" thickBot="1" x14ac:dyDescent="0.25">
      <c r="A116" s="1886"/>
      <c r="B116" s="1848" t="s">
        <v>1630</v>
      </c>
      <c r="C116" s="1849" t="s">
        <v>1631</v>
      </c>
      <c r="D116" s="1866">
        <v>0.85</v>
      </c>
      <c r="E116" s="1849" t="s">
        <v>1657</v>
      </c>
      <c r="F116" s="1849" t="s">
        <v>1804</v>
      </c>
      <c r="G116" s="1848" t="s">
        <v>264</v>
      </c>
      <c r="H116" s="621" t="s">
        <v>1632</v>
      </c>
      <c r="I116" s="585"/>
      <c r="J116" s="606"/>
      <c r="K116" s="572"/>
      <c r="L116" s="573"/>
      <c r="M116" s="573"/>
      <c r="N116" s="573"/>
      <c r="O116" s="573"/>
      <c r="P116" s="573"/>
      <c r="Q116" s="573"/>
      <c r="R116" s="573"/>
      <c r="S116" s="573"/>
      <c r="T116" s="573"/>
      <c r="U116" s="573"/>
      <c r="V116" s="574"/>
      <c r="W116" s="457"/>
    </row>
    <row r="117" spans="1:23" s="9" customFormat="1" ht="39.75" customHeight="1" thickBot="1" x14ac:dyDescent="0.25">
      <c r="A117" s="1886"/>
      <c r="B117" s="1848"/>
      <c r="C117" s="1849"/>
      <c r="D117" s="1866"/>
      <c r="E117" s="1883"/>
      <c r="F117" s="1842"/>
      <c r="G117" s="1848"/>
      <c r="H117" s="621" t="s">
        <v>1633</v>
      </c>
      <c r="I117" s="585"/>
      <c r="J117" s="606"/>
      <c r="K117" s="572"/>
      <c r="L117" s="573"/>
      <c r="M117" s="573"/>
      <c r="N117" s="573"/>
      <c r="O117" s="573"/>
      <c r="P117" s="573"/>
      <c r="Q117" s="573"/>
      <c r="R117" s="573"/>
      <c r="S117" s="573"/>
      <c r="T117" s="573"/>
      <c r="U117" s="573"/>
      <c r="V117" s="574"/>
      <c r="W117" s="457"/>
    </row>
    <row r="118" spans="1:23" s="9" customFormat="1" ht="36" customHeight="1" thickBot="1" x14ac:dyDescent="0.25">
      <c r="A118" s="1886"/>
      <c r="B118" s="1848"/>
      <c r="C118" s="1849"/>
      <c r="D118" s="1866"/>
      <c r="E118" s="1883"/>
      <c r="F118" s="1842"/>
      <c r="G118" s="1848"/>
      <c r="H118" s="621" t="s">
        <v>1634</v>
      </c>
      <c r="I118" s="585"/>
      <c r="J118" s="606"/>
      <c r="K118" s="572"/>
      <c r="L118" s="573"/>
      <c r="M118" s="573"/>
      <c r="N118" s="573"/>
      <c r="O118" s="573"/>
      <c r="P118" s="573"/>
      <c r="Q118" s="573"/>
      <c r="R118" s="573"/>
      <c r="S118" s="573"/>
      <c r="T118" s="573"/>
      <c r="U118" s="573"/>
      <c r="V118" s="574"/>
      <c r="W118" s="457"/>
    </row>
    <row r="119" spans="1:23" s="9" customFormat="1" ht="25.5" customHeight="1" thickBot="1" x14ac:dyDescent="0.25">
      <c r="A119" s="1886"/>
      <c r="B119" s="1848"/>
      <c r="C119" s="1849"/>
      <c r="D119" s="1866"/>
      <c r="E119" s="1883"/>
      <c r="F119" s="1842"/>
      <c r="G119" s="1848"/>
      <c r="H119" s="621" t="s">
        <v>1635</v>
      </c>
      <c r="I119" s="585"/>
      <c r="J119" s="606"/>
      <c r="K119" s="572"/>
      <c r="L119" s="573"/>
      <c r="M119" s="573"/>
      <c r="N119" s="573"/>
      <c r="O119" s="573"/>
      <c r="P119" s="573"/>
      <c r="Q119" s="573"/>
      <c r="R119" s="573"/>
      <c r="S119" s="573"/>
      <c r="T119" s="573"/>
      <c r="U119" s="573"/>
      <c r="V119" s="574"/>
      <c r="W119" s="457"/>
    </row>
    <row r="120" spans="1:23" s="9" customFormat="1" ht="19.899999999999999" customHeight="1" thickBot="1" x14ac:dyDescent="0.25">
      <c r="A120" s="1886"/>
      <c r="B120" s="1848"/>
      <c r="C120" s="1849"/>
      <c r="D120" s="1866"/>
      <c r="E120" s="1883"/>
      <c r="F120" s="1842"/>
      <c r="G120" s="1848"/>
      <c r="H120" s="621" t="s">
        <v>1658</v>
      </c>
      <c r="I120" s="585"/>
      <c r="J120" s="606"/>
      <c r="K120" s="572"/>
      <c r="L120" s="573"/>
      <c r="M120" s="573"/>
      <c r="N120" s="573"/>
      <c r="O120" s="573"/>
      <c r="P120" s="573"/>
      <c r="Q120" s="573"/>
      <c r="R120" s="573"/>
      <c r="S120" s="573"/>
      <c r="T120" s="573"/>
      <c r="U120" s="573"/>
      <c r="V120" s="574"/>
      <c r="W120" s="457"/>
    </row>
    <row r="121" spans="1:23" s="9" customFormat="1" ht="45.6" customHeight="1" thickBot="1" x14ac:dyDescent="0.25">
      <c r="A121" s="1886"/>
      <c r="B121" s="1849" t="s">
        <v>1630</v>
      </c>
      <c r="C121" s="1849" t="s">
        <v>1637</v>
      </c>
      <c r="D121" s="1889">
        <v>0.85</v>
      </c>
      <c r="E121" s="1849" t="s">
        <v>1638</v>
      </c>
      <c r="F121" s="1849" t="s">
        <v>1665</v>
      </c>
      <c r="G121" s="1848" t="s">
        <v>1725</v>
      </c>
      <c r="H121" s="607" t="s">
        <v>1659</v>
      </c>
      <c r="I121" s="585"/>
      <c r="J121" s="606"/>
      <c r="K121" s="572"/>
      <c r="L121" s="573"/>
      <c r="M121" s="573"/>
      <c r="N121" s="573"/>
      <c r="O121" s="573"/>
      <c r="P121" s="573"/>
      <c r="Q121" s="573"/>
      <c r="R121" s="573"/>
      <c r="S121" s="573"/>
      <c r="T121" s="573"/>
      <c r="U121" s="573"/>
      <c r="V121" s="574"/>
      <c r="W121" s="457"/>
    </row>
    <row r="122" spans="1:23" s="9" customFormat="1" ht="45.6" customHeight="1" thickBot="1" x14ac:dyDescent="0.25">
      <c r="A122" s="1886"/>
      <c r="B122" s="1883"/>
      <c r="C122" s="1883"/>
      <c r="D122" s="1842"/>
      <c r="E122" s="1849"/>
      <c r="F122" s="1849"/>
      <c r="G122" s="1848"/>
      <c r="H122" s="607" t="s">
        <v>1639</v>
      </c>
      <c r="I122" s="585"/>
      <c r="J122" s="606"/>
      <c r="K122" s="572"/>
      <c r="L122" s="573"/>
      <c r="M122" s="573"/>
      <c r="N122" s="573"/>
      <c r="O122" s="573"/>
      <c r="P122" s="573"/>
      <c r="Q122" s="573"/>
      <c r="R122" s="573"/>
      <c r="S122" s="573"/>
      <c r="T122" s="573"/>
      <c r="U122" s="573"/>
      <c r="V122" s="574"/>
      <c r="W122" s="457"/>
    </row>
    <row r="123" spans="1:23" s="9" customFormat="1" ht="75" customHeight="1" thickBot="1" x14ac:dyDescent="0.25">
      <c r="A123" s="1886"/>
      <c r="B123" s="683" t="s">
        <v>374</v>
      </c>
      <c r="C123" s="683" t="s">
        <v>1805</v>
      </c>
      <c r="D123" s="632">
        <v>1</v>
      </c>
      <c r="E123" s="683" t="s">
        <v>1673</v>
      </c>
      <c r="F123" s="683" t="s">
        <v>1674</v>
      </c>
      <c r="G123" s="683" t="s">
        <v>1726</v>
      </c>
      <c r="H123" s="663" t="s">
        <v>1675</v>
      </c>
      <c r="I123" s="585"/>
      <c r="J123" s="606"/>
      <c r="K123" s="572"/>
      <c r="L123" s="573"/>
      <c r="M123" s="573"/>
      <c r="N123" s="573"/>
      <c r="O123" s="573"/>
      <c r="P123" s="573"/>
      <c r="Q123" s="573"/>
      <c r="R123" s="573"/>
      <c r="S123" s="573"/>
      <c r="T123" s="573"/>
      <c r="U123" s="573"/>
      <c r="V123" s="574"/>
      <c r="W123" s="457"/>
    </row>
    <row r="124" spans="1:23" s="9" customFormat="1" ht="51.75" thickBot="1" x14ac:dyDescent="0.25">
      <c r="A124" s="1886"/>
      <c r="B124" s="683" t="s">
        <v>1676</v>
      </c>
      <c r="C124" s="683" t="s">
        <v>2065</v>
      </c>
      <c r="D124" s="632">
        <v>1</v>
      </c>
      <c r="E124" s="683" t="s">
        <v>1677</v>
      </c>
      <c r="F124" s="683" t="s">
        <v>1678</v>
      </c>
      <c r="G124" s="683" t="s">
        <v>1726</v>
      </c>
      <c r="H124" s="663" t="s">
        <v>1806</v>
      </c>
      <c r="I124" s="585"/>
      <c r="J124" s="606"/>
      <c r="K124" s="572"/>
      <c r="L124" s="573"/>
      <c r="M124" s="573"/>
      <c r="N124" s="573"/>
      <c r="O124" s="573"/>
      <c r="P124" s="573"/>
      <c r="Q124" s="573"/>
      <c r="R124" s="573"/>
      <c r="S124" s="573"/>
      <c r="T124" s="573"/>
      <c r="U124" s="573"/>
      <c r="V124" s="574"/>
      <c r="W124" s="457"/>
    </row>
    <row r="125" spans="1:23" s="9" customFormat="1" ht="51.75" thickBot="1" x14ac:dyDescent="0.25">
      <c r="A125" s="1886"/>
      <c r="B125" s="683" t="s">
        <v>1676</v>
      </c>
      <c r="C125" s="683" t="s">
        <v>1679</v>
      </c>
      <c r="D125" s="632">
        <v>0.9</v>
      </c>
      <c r="E125" s="683" t="s">
        <v>1680</v>
      </c>
      <c r="F125" s="683" t="s">
        <v>1681</v>
      </c>
      <c r="G125" s="683" t="s">
        <v>1726</v>
      </c>
      <c r="H125" s="663" t="s">
        <v>1682</v>
      </c>
      <c r="I125" s="585"/>
      <c r="J125" s="606"/>
      <c r="K125" s="572"/>
      <c r="L125" s="573"/>
      <c r="M125" s="573"/>
      <c r="N125" s="573"/>
      <c r="O125" s="573"/>
      <c r="P125" s="573"/>
      <c r="Q125" s="573"/>
      <c r="R125" s="573"/>
      <c r="S125" s="573"/>
      <c r="T125" s="573"/>
      <c r="U125" s="573"/>
      <c r="V125" s="574"/>
      <c r="W125" s="457"/>
    </row>
    <row r="126" spans="1:23" s="9" customFormat="1" ht="51.75" thickBot="1" x14ac:dyDescent="0.25">
      <c r="A126" s="1886"/>
      <c r="B126" s="683" t="s">
        <v>1676</v>
      </c>
      <c r="C126" s="683" t="s">
        <v>1683</v>
      </c>
      <c r="D126" s="632">
        <v>0.6</v>
      </c>
      <c r="E126" s="683" t="s">
        <v>1684</v>
      </c>
      <c r="F126" s="683" t="s">
        <v>1807</v>
      </c>
      <c r="G126" s="683" t="s">
        <v>1726</v>
      </c>
      <c r="H126" s="663" t="s">
        <v>1685</v>
      </c>
      <c r="I126" s="585"/>
      <c r="J126" s="606"/>
      <c r="K126" s="572"/>
      <c r="L126" s="573"/>
      <c r="M126" s="573"/>
      <c r="N126" s="573"/>
      <c r="O126" s="573"/>
      <c r="P126" s="573"/>
      <c r="Q126" s="573"/>
      <c r="R126" s="573"/>
      <c r="S126" s="573"/>
      <c r="T126" s="573"/>
      <c r="U126" s="573"/>
      <c r="V126" s="574"/>
      <c r="W126" s="457"/>
    </row>
    <row r="127" spans="1:23" s="9" customFormat="1" ht="63.75" x14ac:dyDescent="0.2">
      <c r="A127" s="1886"/>
      <c r="B127" s="1849" t="s">
        <v>1630</v>
      </c>
      <c r="C127" s="1849" t="s">
        <v>1631</v>
      </c>
      <c r="D127" s="688">
        <v>0.7</v>
      </c>
      <c r="E127" s="682" t="s">
        <v>1808</v>
      </c>
      <c r="F127" s="682" t="s">
        <v>1686</v>
      </c>
      <c r="G127" s="682" t="s">
        <v>1727</v>
      </c>
      <c r="H127" s="661" t="s">
        <v>1809</v>
      </c>
    </row>
    <row r="128" spans="1:23" s="9" customFormat="1" ht="63.75" x14ac:dyDescent="0.2">
      <c r="A128" s="1886"/>
      <c r="B128" s="1883"/>
      <c r="C128" s="1883"/>
      <c r="D128" s="688">
        <v>0.7</v>
      </c>
      <c r="E128" s="682" t="s">
        <v>1687</v>
      </c>
      <c r="F128" s="682" t="s">
        <v>1688</v>
      </c>
      <c r="G128" s="682" t="s">
        <v>1727</v>
      </c>
      <c r="H128" s="661" t="s">
        <v>1810</v>
      </c>
    </row>
    <row r="129" spans="1:23" s="9" customFormat="1" ht="28.9" customHeight="1" x14ac:dyDescent="0.2">
      <c r="A129" s="1886"/>
      <c r="B129" s="1882" t="s">
        <v>1630</v>
      </c>
      <c r="C129" s="1882" t="s">
        <v>1811</v>
      </c>
      <c r="D129" s="1882" t="s">
        <v>1689</v>
      </c>
      <c r="E129" s="1882" t="s">
        <v>1803</v>
      </c>
      <c r="F129" s="1882" t="s">
        <v>1812</v>
      </c>
      <c r="G129" s="1882" t="s">
        <v>1728</v>
      </c>
      <c r="H129" s="607" t="s">
        <v>1813</v>
      </c>
    </row>
    <row r="130" spans="1:23" s="9" customFormat="1" ht="28.9" customHeight="1" x14ac:dyDescent="0.2">
      <c r="A130" s="1886"/>
      <c r="B130" s="1882"/>
      <c r="C130" s="1882"/>
      <c r="D130" s="1882"/>
      <c r="E130" s="1882"/>
      <c r="F130" s="1882"/>
      <c r="G130" s="1882"/>
      <c r="H130" s="607" t="s">
        <v>1718</v>
      </c>
    </row>
    <row r="131" spans="1:23" s="9" customFormat="1" ht="28.9" customHeight="1" x14ac:dyDescent="0.2">
      <c r="A131" s="1886"/>
      <c r="B131" s="1882"/>
      <c r="C131" s="1882"/>
      <c r="D131" s="1882"/>
      <c r="E131" s="1882"/>
      <c r="F131" s="1882"/>
      <c r="G131" s="1882"/>
      <c r="H131" s="607" t="s">
        <v>1690</v>
      </c>
    </row>
    <row r="132" spans="1:23" s="9" customFormat="1" ht="24.6" customHeight="1" x14ac:dyDescent="0.2">
      <c r="A132" s="1886"/>
      <c r="B132" s="1882" t="s">
        <v>374</v>
      </c>
      <c r="C132" s="1882" t="s">
        <v>1814</v>
      </c>
      <c r="D132" s="1882" t="s">
        <v>1691</v>
      </c>
      <c r="E132" s="1888" t="s">
        <v>1709</v>
      </c>
      <c r="F132" s="1888" t="s">
        <v>1710</v>
      </c>
      <c r="G132" s="1882" t="s">
        <v>1728</v>
      </c>
      <c r="H132" s="607" t="s">
        <v>1692</v>
      </c>
    </row>
    <row r="133" spans="1:23" s="9" customFormat="1" ht="24.6" customHeight="1" x14ac:dyDescent="0.2">
      <c r="A133" s="1886"/>
      <c r="B133" s="1882"/>
      <c r="C133" s="1882"/>
      <c r="D133" s="1882"/>
      <c r="E133" s="1888"/>
      <c r="F133" s="1888"/>
      <c r="G133" s="1882"/>
      <c r="H133" s="607" t="s">
        <v>1693</v>
      </c>
    </row>
    <row r="134" spans="1:23" s="9" customFormat="1" ht="26.45" customHeight="1" x14ac:dyDescent="0.2">
      <c r="A134" s="1886"/>
      <c r="B134" s="1882" t="s">
        <v>374</v>
      </c>
      <c r="C134" s="1882" t="s">
        <v>1694</v>
      </c>
      <c r="D134" s="1882" t="s">
        <v>1711</v>
      </c>
      <c r="E134" s="1882" t="s">
        <v>1815</v>
      </c>
      <c r="F134" s="1882" t="s">
        <v>1695</v>
      </c>
      <c r="G134" s="1882" t="s">
        <v>1728</v>
      </c>
      <c r="H134" s="607" t="s">
        <v>1696</v>
      </c>
    </row>
    <row r="135" spans="1:23" s="9" customFormat="1" ht="26.45" customHeight="1" x14ac:dyDescent="0.2">
      <c r="A135" s="1886"/>
      <c r="B135" s="1882"/>
      <c r="C135" s="1882"/>
      <c r="D135" s="1882"/>
      <c r="E135" s="1882"/>
      <c r="F135" s="1882"/>
      <c r="G135" s="1882"/>
      <c r="H135" s="607" t="s">
        <v>1717</v>
      </c>
    </row>
    <row r="136" spans="1:23" s="9" customFormat="1" ht="26.45" customHeight="1" x14ac:dyDescent="0.2">
      <c r="A136" s="1886"/>
      <c r="B136" s="1882"/>
      <c r="C136" s="1882"/>
      <c r="D136" s="1882"/>
      <c r="E136" s="1882"/>
      <c r="F136" s="1882"/>
      <c r="G136" s="1882"/>
      <c r="H136" s="607" t="s">
        <v>1716</v>
      </c>
    </row>
    <row r="137" spans="1:23" s="9" customFormat="1" ht="36.6" customHeight="1" x14ac:dyDescent="0.2">
      <c r="A137" s="1886"/>
      <c r="B137" s="1882" t="s">
        <v>1630</v>
      </c>
      <c r="C137" s="1882" t="s">
        <v>1712</v>
      </c>
      <c r="D137" s="1882" t="s">
        <v>1713</v>
      </c>
      <c r="E137" s="1882" t="s">
        <v>1715</v>
      </c>
      <c r="F137" s="1882" t="s">
        <v>1714</v>
      </c>
      <c r="G137" s="1882" t="s">
        <v>1728</v>
      </c>
      <c r="H137" s="607" t="s">
        <v>1816</v>
      </c>
    </row>
    <row r="138" spans="1:23" s="9" customFormat="1" ht="36.6" customHeight="1" x14ac:dyDescent="0.2">
      <c r="A138" s="1886"/>
      <c r="B138" s="1882"/>
      <c r="C138" s="1882"/>
      <c r="D138" s="1882"/>
      <c r="E138" s="1882"/>
      <c r="F138" s="1882"/>
      <c r="G138" s="1882"/>
      <c r="H138" s="607" t="s">
        <v>1817</v>
      </c>
    </row>
    <row r="139" spans="1:23" s="9" customFormat="1" ht="19.899999999999999" customHeight="1" x14ac:dyDescent="0.2">
      <c r="A139" s="1886"/>
      <c r="B139" s="1882" t="s">
        <v>374</v>
      </c>
      <c r="C139" s="1882" t="s">
        <v>1818</v>
      </c>
      <c r="D139" s="1882" t="s">
        <v>1723</v>
      </c>
      <c r="E139" s="1882" t="s">
        <v>1722</v>
      </c>
      <c r="F139" s="1882" t="s">
        <v>1724</v>
      </c>
      <c r="G139" s="1882" t="s">
        <v>1728</v>
      </c>
      <c r="H139" s="607" t="s">
        <v>1697</v>
      </c>
    </row>
    <row r="140" spans="1:23" s="9" customFormat="1" ht="19.899999999999999" customHeight="1" x14ac:dyDescent="0.2">
      <c r="A140" s="1886"/>
      <c r="B140" s="1882"/>
      <c r="C140" s="1882"/>
      <c r="D140" s="1882"/>
      <c r="E140" s="1882"/>
      <c r="F140" s="1882"/>
      <c r="G140" s="1882"/>
      <c r="H140" s="607" t="s">
        <v>1698</v>
      </c>
    </row>
    <row r="141" spans="1:23" s="9" customFormat="1" ht="19.899999999999999" customHeight="1" thickBot="1" x14ac:dyDescent="0.25">
      <c r="A141" s="1886"/>
      <c r="B141" s="1882"/>
      <c r="C141" s="1882"/>
      <c r="D141" s="1882"/>
      <c r="E141" s="1882"/>
      <c r="F141" s="1882"/>
      <c r="G141" s="1882"/>
      <c r="H141" s="607" t="s">
        <v>1699</v>
      </c>
    </row>
    <row r="142" spans="1:23" s="9" customFormat="1" ht="19.899999999999999" customHeight="1" thickBot="1" x14ac:dyDescent="0.25">
      <c r="A142" s="1887" t="s">
        <v>1479</v>
      </c>
      <c r="B142" s="1848" t="s">
        <v>374</v>
      </c>
      <c r="C142" s="1858" t="s">
        <v>1600</v>
      </c>
      <c r="D142" s="1858" t="s">
        <v>1601</v>
      </c>
      <c r="E142" s="1858" t="s">
        <v>1765</v>
      </c>
      <c r="F142" s="1858" t="s">
        <v>1519</v>
      </c>
      <c r="G142" s="1858" t="s">
        <v>1708</v>
      </c>
      <c r="H142" s="664" t="s">
        <v>1520</v>
      </c>
      <c r="I142" s="640">
        <v>43159</v>
      </c>
      <c r="J142" s="1884" t="s">
        <v>311</v>
      </c>
      <c r="K142" s="594"/>
      <c r="L142" s="430"/>
      <c r="M142" s="430"/>
      <c r="N142" s="430"/>
      <c r="O142" s="430"/>
      <c r="P142" s="430"/>
      <c r="Q142" s="430"/>
      <c r="R142" s="430"/>
      <c r="S142" s="430"/>
      <c r="T142" s="430"/>
      <c r="U142" s="430"/>
      <c r="V142" s="430"/>
      <c r="W142" s="401"/>
    </row>
    <row r="143" spans="1:23" s="9" customFormat="1" ht="19.899999999999999" customHeight="1" thickBot="1" x14ac:dyDescent="0.25">
      <c r="A143" s="1887"/>
      <c r="B143" s="1848"/>
      <c r="C143" s="1858"/>
      <c r="D143" s="1858"/>
      <c r="E143" s="1858"/>
      <c r="F143" s="1858"/>
      <c r="G143" s="1858"/>
      <c r="H143" s="664" t="s">
        <v>1521</v>
      </c>
      <c r="I143" s="640">
        <v>43190</v>
      </c>
      <c r="J143" s="1884"/>
      <c r="K143" s="595"/>
      <c r="L143" s="433"/>
      <c r="M143" s="433"/>
      <c r="N143" s="433"/>
      <c r="O143" s="433"/>
      <c r="P143" s="433"/>
      <c r="Q143" s="433"/>
      <c r="R143" s="433"/>
      <c r="S143" s="433"/>
      <c r="T143" s="433"/>
      <c r="U143" s="433"/>
      <c r="V143" s="433"/>
      <c r="W143" s="404"/>
    </row>
    <row r="144" spans="1:23" s="9" customFormat="1" ht="19.899999999999999" customHeight="1" thickBot="1" x14ac:dyDescent="0.25">
      <c r="A144" s="1887"/>
      <c r="B144" s="1848"/>
      <c r="C144" s="1858"/>
      <c r="D144" s="1858"/>
      <c r="E144" s="1858"/>
      <c r="F144" s="1858"/>
      <c r="G144" s="1858"/>
      <c r="H144" s="665" t="s">
        <v>314</v>
      </c>
      <c r="I144" s="640">
        <v>43190</v>
      </c>
      <c r="J144" s="1884"/>
      <c r="K144" s="595"/>
      <c r="L144" s="433"/>
      <c r="M144" s="433"/>
      <c r="N144" s="433"/>
      <c r="O144" s="433"/>
      <c r="P144" s="433"/>
      <c r="Q144" s="433"/>
      <c r="R144" s="433"/>
      <c r="S144" s="433"/>
      <c r="T144" s="433"/>
      <c r="U144" s="433"/>
      <c r="V144" s="433"/>
      <c r="W144" s="404"/>
    </row>
    <row r="145" spans="1:23" s="9" customFormat="1" ht="19.899999999999999" customHeight="1" thickBot="1" x14ac:dyDescent="0.25">
      <c r="A145" s="1887"/>
      <c r="B145" s="1848"/>
      <c r="C145" s="1858"/>
      <c r="D145" s="1858"/>
      <c r="E145" s="1858"/>
      <c r="F145" s="1858"/>
      <c r="G145" s="1858"/>
      <c r="H145" s="664" t="s">
        <v>1602</v>
      </c>
      <c r="I145" s="640">
        <v>43220</v>
      </c>
      <c r="J145" s="1884"/>
      <c r="K145" s="595"/>
      <c r="L145" s="433"/>
      <c r="M145" s="433"/>
      <c r="N145" s="433"/>
      <c r="O145" s="433"/>
      <c r="P145" s="433"/>
      <c r="Q145" s="433"/>
      <c r="R145" s="433"/>
      <c r="S145" s="433"/>
      <c r="T145" s="433"/>
      <c r="U145" s="433"/>
      <c r="V145" s="433"/>
      <c r="W145" s="404"/>
    </row>
    <row r="146" spans="1:23" s="9" customFormat="1" ht="19.899999999999999" customHeight="1" thickBot="1" x14ac:dyDescent="0.25">
      <c r="A146" s="1887"/>
      <c r="B146" s="1848" t="s">
        <v>374</v>
      </c>
      <c r="C146" s="1858" t="s">
        <v>1735</v>
      </c>
      <c r="D146" s="1885" t="s">
        <v>1603</v>
      </c>
      <c r="E146" s="1869" t="s">
        <v>1766</v>
      </c>
      <c r="F146" s="1869" t="s">
        <v>318</v>
      </c>
      <c r="G146" s="1858" t="s">
        <v>1708</v>
      </c>
      <c r="H146" s="664" t="s">
        <v>1604</v>
      </c>
      <c r="I146" s="640">
        <v>43159</v>
      </c>
      <c r="J146" s="1870" t="s">
        <v>319</v>
      </c>
      <c r="K146" s="595"/>
      <c r="L146" s="433"/>
      <c r="M146" s="433"/>
      <c r="N146" s="433"/>
      <c r="O146" s="433"/>
      <c r="P146" s="433"/>
      <c r="Q146" s="433"/>
      <c r="R146" s="433"/>
      <c r="S146" s="433"/>
      <c r="T146" s="433"/>
      <c r="U146" s="433"/>
      <c r="V146" s="433"/>
      <c r="W146" s="404"/>
    </row>
    <row r="147" spans="1:23" s="9" customFormat="1" ht="19.899999999999999" customHeight="1" thickBot="1" x14ac:dyDescent="0.25">
      <c r="A147" s="1887"/>
      <c r="B147" s="1848"/>
      <c r="C147" s="1858"/>
      <c r="D147" s="1885"/>
      <c r="E147" s="1869"/>
      <c r="F147" s="1869"/>
      <c r="G147" s="1858"/>
      <c r="H147" s="664" t="s">
        <v>1719</v>
      </c>
      <c r="I147" s="640">
        <v>43190</v>
      </c>
      <c r="J147" s="1871"/>
      <c r="K147" s="595"/>
      <c r="L147" s="433"/>
      <c r="M147" s="433"/>
      <c r="N147" s="433"/>
      <c r="O147" s="433"/>
      <c r="P147" s="433"/>
      <c r="Q147" s="433"/>
      <c r="R147" s="433"/>
      <c r="S147" s="433"/>
      <c r="T147" s="433"/>
      <c r="U147" s="433"/>
      <c r="V147" s="433"/>
      <c r="W147" s="404"/>
    </row>
    <row r="148" spans="1:23" s="9" customFormat="1" ht="19.899999999999999" customHeight="1" thickBot="1" x14ac:dyDescent="0.25">
      <c r="A148" s="1887"/>
      <c r="B148" s="1848"/>
      <c r="C148" s="1858"/>
      <c r="D148" s="1885"/>
      <c r="E148" s="1869"/>
      <c r="F148" s="1869"/>
      <c r="G148" s="1858"/>
      <c r="H148" s="664" t="s">
        <v>1605</v>
      </c>
      <c r="I148" s="640">
        <v>43220</v>
      </c>
      <c r="J148" s="1871"/>
      <c r="K148" s="595"/>
      <c r="L148" s="433"/>
      <c r="M148" s="433"/>
      <c r="N148" s="433"/>
      <c r="O148" s="433"/>
      <c r="P148" s="433"/>
      <c r="Q148" s="433"/>
      <c r="R148" s="433"/>
      <c r="S148" s="433"/>
      <c r="T148" s="433"/>
      <c r="U148" s="433"/>
      <c r="V148" s="433"/>
      <c r="W148" s="404"/>
    </row>
    <row r="149" spans="1:23" s="9" customFormat="1" ht="19.899999999999999" customHeight="1" thickBot="1" x14ac:dyDescent="0.25">
      <c r="A149" s="1887"/>
      <c r="B149" s="1848"/>
      <c r="C149" s="1858"/>
      <c r="D149" s="1885"/>
      <c r="E149" s="1869"/>
      <c r="F149" s="1869"/>
      <c r="G149" s="1858"/>
      <c r="H149" s="665" t="s">
        <v>1606</v>
      </c>
      <c r="I149" s="641">
        <v>43159</v>
      </c>
      <c r="J149" s="1872"/>
      <c r="K149" s="596"/>
      <c r="L149" s="439"/>
      <c r="M149" s="439"/>
      <c r="N149" s="439"/>
      <c r="O149" s="439"/>
      <c r="P149" s="439"/>
      <c r="Q149" s="439"/>
      <c r="R149" s="439"/>
      <c r="S149" s="439"/>
      <c r="T149" s="439"/>
      <c r="U149" s="439"/>
      <c r="V149" s="439"/>
      <c r="W149" s="404"/>
    </row>
    <row r="150" spans="1:23" s="9" customFormat="1" ht="27.6" customHeight="1" thickBot="1" x14ac:dyDescent="0.25">
      <c r="A150" s="1862" t="s">
        <v>1483</v>
      </c>
      <c r="B150" s="1849" t="s">
        <v>374</v>
      </c>
      <c r="C150" s="1849" t="s">
        <v>1720</v>
      </c>
      <c r="D150" s="1866" t="s">
        <v>1553</v>
      </c>
      <c r="E150" s="1867" t="s">
        <v>1721</v>
      </c>
      <c r="F150" s="1867" t="s">
        <v>1522</v>
      </c>
      <c r="G150" s="1867" t="s">
        <v>70</v>
      </c>
      <c r="H150" s="664" t="s">
        <v>1607</v>
      </c>
      <c r="I150" s="642">
        <v>43465</v>
      </c>
      <c r="J150" s="1873" t="s">
        <v>292</v>
      </c>
      <c r="K150" s="594"/>
      <c r="L150" s="430"/>
      <c r="M150" s="430"/>
      <c r="N150" s="430"/>
      <c r="O150" s="430"/>
      <c r="P150" s="430"/>
      <c r="Q150" s="430"/>
      <c r="R150" s="430"/>
      <c r="S150" s="430"/>
      <c r="T150" s="430"/>
      <c r="U150" s="430"/>
      <c r="V150" s="430"/>
      <c r="W150" s="404"/>
    </row>
    <row r="151" spans="1:23" s="9" customFormat="1" ht="27.6" customHeight="1" thickBot="1" x14ac:dyDescent="0.25">
      <c r="A151" s="1862"/>
      <c r="B151" s="1849"/>
      <c r="C151" s="1849"/>
      <c r="D151" s="1866"/>
      <c r="E151" s="1867"/>
      <c r="F151" s="1867"/>
      <c r="G151" s="1867"/>
      <c r="H151" s="664" t="s">
        <v>1608</v>
      </c>
      <c r="I151" s="643">
        <v>43465</v>
      </c>
      <c r="J151" s="1874"/>
      <c r="K151" s="595"/>
      <c r="L151" s="433"/>
      <c r="M151" s="433"/>
      <c r="N151" s="433"/>
      <c r="O151" s="433"/>
      <c r="P151" s="433"/>
      <c r="Q151" s="433"/>
      <c r="R151" s="433"/>
      <c r="S151" s="433"/>
      <c r="T151" s="433"/>
      <c r="U151" s="433"/>
      <c r="V151" s="433"/>
      <c r="W151" s="404"/>
    </row>
    <row r="152" spans="1:23" s="9" customFormat="1" ht="49.15" customHeight="1" thickBot="1" x14ac:dyDescent="0.25">
      <c r="A152" s="1862"/>
      <c r="B152" s="1849"/>
      <c r="C152" s="683" t="s">
        <v>1523</v>
      </c>
      <c r="D152" s="686" t="s">
        <v>1524</v>
      </c>
      <c r="E152" s="687" t="s">
        <v>1472</v>
      </c>
      <c r="F152" s="687" t="s">
        <v>1609</v>
      </c>
      <c r="G152" s="1867"/>
      <c r="H152" s="664" t="s">
        <v>1610</v>
      </c>
      <c r="I152" s="643"/>
      <c r="J152" s="685"/>
      <c r="K152" s="595"/>
      <c r="L152" s="433"/>
      <c r="M152" s="433"/>
      <c r="N152" s="433"/>
      <c r="O152" s="433"/>
      <c r="P152" s="433"/>
      <c r="Q152" s="433"/>
      <c r="R152" s="433"/>
      <c r="S152" s="433"/>
      <c r="T152" s="433"/>
      <c r="U152" s="433"/>
      <c r="V152" s="433"/>
      <c r="W152" s="404"/>
    </row>
    <row r="153" spans="1:23" s="9" customFormat="1" ht="27.6" customHeight="1" thickBot="1" x14ac:dyDescent="0.25">
      <c r="A153" s="1862"/>
      <c r="B153" s="1849"/>
      <c r="C153" s="1849" t="s">
        <v>1611</v>
      </c>
      <c r="D153" s="1867" t="s">
        <v>1474</v>
      </c>
      <c r="E153" s="1867" t="s">
        <v>1525</v>
      </c>
      <c r="F153" s="1867" t="s">
        <v>1475</v>
      </c>
      <c r="G153" s="1867"/>
      <c r="H153" s="666" t="s">
        <v>1473</v>
      </c>
      <c r="I153" s="643"/>
      <c r="J153" s="1875" t="s">
        <v>292</v>
      </c>
      <c r="K153" s="595"/>
      <c r="L153" s="433"/>
      <c r="M153" s="433"/>
      <c r="N153" s="433"/>
      <c r="O153" s="433"/>
      <c r="P153" s="433"/>
      <c r="Q153" s="433"/>
      <c r="R153" s="433"/>
      <c r="S153" s="433"/>
      <c r="T153" s="433"/>
      <c r="U153" s="433"/>
      <c r="V153" s="433"/>
      <c r="W153" s="404"/>
    </row>
    <row r="154" spans="1:23" s="9" customFormat="1" ht="27.6" customHeight="1" thickBot="1" x14ac:dyDescent="0.25">
      <c r="A154" s="1862"/>
      <c r="B154" s="1849"/>
      <c r="C154" s="1849"/>
      <c r="D154" s="1867"/>
      <c r="E154" s="1867"/>
      <c r="F154" s="1867"/>
      <c r="G154" s="1867"/>
      <c r="H154" s="666" t="s">
        <v>1612</v>
      </c>
      <c r="I154" s="644"/>
      <c r="J154" s="1876"/>
      <c r="K154" s="596"/>
      <c r="L154" s="439"/>
      <c r="M154" s="439"/>
      <c r="N154" s="439"/>
      <c r="O154" s="439"/>
      <c r="P154" s="439"/>
      <c r="Q154" s="439"/>
      <c r="R154" s="439"/>
      <c r="S154" s="439"/>
      <c r="T154" s="439"/>
      <c r="U154" s="439"/>
      <c r="V154" s="439"/>
      <c r="W154" s="404"/>
    </row>
    <row r="155" spans="1:23" s="9" customFormat="1" ht="19.899999999999999" customHeight="1" thickBot="1" x14ac:dyDescent="0.25">
      <c r="A155" s="1862" t="s">
        <v>1478</v>
      </c>
      <c r="B155" s="1848" t="s">
        <v>374</v>
      </c>
      <c r="C155" s="1849" t="s">
        <v>1613</v>
      </c>
      <c r="D155" s="1868">
        <v>0.9</v>
      </c>
      <c r="E155" s="1869" t="s">
        <v>1526</v>
      </c>
      <c r="F155" s="1869" t="s">
        <v>1614</v>
      </c>
      <c r="G155" s="1869" t="s">
        <v>1051</v>
      </c>
      <c r="H155" s="666" t="s">
        <v>1615</v>
      </c>
      <c r="I155" s="645">
        <v>43465</v>
      </c>
      <c r="J155" s="1877" t="s">
        <v>1052</v>
      </c>
      <c r="K155" s="594"/>
      <c r="L155" s="430"/>
      <c r="M155" s="430"/>
      <c r="N155" s="430"/>
      <c r="O155" s="430"/>
      <c r="P155" s="430"/>
      <c r="Q155" s="430"/>
      <c r="R155" s="430"/>
      <c r="S155" s="430"/>
      <c r="T155" s="430"/>
      <c r="U155" s="430"/>
      <c r="V155" s="430"/>
      <c r="W155" s="404"/>
    </row>
    <row r="156" spans="1:23" s="9" customFormat="1" ht="19.899999999999999" customHeight="1" thickBot="1" x14ac:dyDescent="0.25">
      <c r="A156" s="1862"/>
      <c r="B156" s="1848"/>
      <c r="C156" s="1849"/>
      <c r="D156" s="1869"/>
      <c r="E156" s="1869"/>
      <c r="F156" s="1869"/>
      <c r="G156" s="1869"/>
      <c r="H156" s="666" t="s">
        <v>1476</v>
      </c>
      <c r="I156" s="646">
        <v>43465</v>
      </c>
      <c r="J156" s="1878"/>
      <c r="K156" s="595"/>
      <c r="L156" s="433"/>
      <c r="M156" s="433"/>
      <c r="N156" s="433"/>
      <c r="O156" s="433"/>
      <c r="P156" s="433"/>
      <c r="Q156" s="433"/>
      <c r="R156" s="433"/>
      <c r="S156" s="433"/>
      <c r="T156" s="433"/>
      <c r="U156" s="433"/>
      <c r="V156" s="433"/>
      <c r="W156" s="404"/>
    </row>
    <row r="157" spans="1:23" s="9" customFormat="1" ht="19.899999999999999" customHeight="1" thickBot="1" x14ac:dyDescent="0.25">
      <c r="A157" s="1862"/>
      <c r="B157" s="1848"/>
      <c r="C157" s="1849"/>
      <c r="D157" s="1869"/>
      <c r="E157" s="1869"/>
      <c r="F157" s="1869"/>
      <c r="G157" s="1869"/>
      <c r="H157" s="666" t="s">
        <v>1616</v>
      </c>
      <c r="I157" s="646">
        <v>43465</v>
      </c>
      <c r="J157" s="1879"/>
      <c r="K157" s="595"/>
      <c r="L157" s="433"/>
      <c r="M157" s="433"/>
      <c r="N157" s="433"/>
      <c r="O157" s="433"/>
      <c r="P157" s="433"/>
      <c r="Q157" s="433"/>
      <c r="R157" s="433"/>
      <c r="S157" s="433"/>
      <c r="T157" s="433"/>
      <c r="U157" s="433"/>
      <c r="V157" s="433"/>
      <c r="W157" s="404"/>
    </row>
    <row r="158" spans="1:23" s="9" customFormat="1" ht="10.9" customHeight="1" thickBot="1" x14ac:dyDescent="0.25">
      <c r="A158" s="1862"/>
      <c r="B158" s="1848" t="s">
        <v>374</v>
      </c>
      <c r="C158" s="1848" t="s">
        <v>1527</v>
      </c>
      <c r="D158" s="1859">
        <v>1</v>
      </c>
      <c r="E158" s="1848" t="s">
        <v>1768</v>
      </c>
      <c r="F158" s="1848" t="s">
        <v>1767</v>
      </c>
      <c r="G158" s="1848" t="s">
        <v>1051</v>
      </c>
      <c r="H158" s="666" t="s">
        <v>1734</v>
      </c>
      <c r="I158" s="646">
        <v>43465</v>
      </c>
      <c r="J158" s="1880" t="s">
        <v>1052</v>
      </c>
      <c r="K158" s="595"/>
      <c r="L158" s="433"/>
      <c r="M158" s="433"/>
      <c r="N158" s="433"/>
      <c r="O158" s="433"/>
      <c r="P158" s="433"/>
      <c r="Q158" s="433"/>
      <c r="R158" s="433"/>
      <c r="S158" s="433"/>
      <c r="T158" s="433"/>
      <c r="U158" s="433"/>
      <c r="V158" s="433"/>
      <c r="W158" s="404"/>
    </row>
    <row r="159" spans="1:23" s="9" customFormat="1" ht="10.9" customHeight="1" thickBot="1" x14ac:dyDescent="0.25">
      <c r="A159" s="1862"/>
      <c r="B159" s="1848"/>
      <c r="C159" s="1848"/>
      <c r="D159" s="1859"/>
      <c r="E159" s="1848"/>
      <c r="F159" s="1848"/>
      <c r="G159" s="1848"/>
      <c r="H159" s="666" t="s">
        <v>1790</v>
      </c>
      <c r="I159" s="646"/>
      <c r="J159" s="1880"/>
      <c r="K159" s="595"/>
      <c r="L159" s="433"/>
      <c r="M159" s="433"/>
      <c r="N159" s="433"/>
      <c r="O159" s="433"/>
      <c r="P159" s="433"/>
      <c r="Q159" s="433"/>
      <c r="R159" s="433"/>
      <c r="S159" s="433"/>
      <c r="T159" s="433"/>
      <c r="U159" s="433"/>
      <c r="V159" s="433"/>
      <c r="W159" s="404"/>
    </row>
    <row r="160" spans="1:23" s="9" customFormat="1" ht="10.9" customHeight="1" thickBot="1" x14ac:dyDescent="0.25">
      <c r="A160" s="1862"/>
      <c r="B160" s="1848"/>
      <c r="C160" s="1848"/>
      <c r="D160" s="1859"/>
      <c r="E160" s="1848"/>
      <c r="F160" s="1848"/>
      <c r="G160" s="1848"/>
      <c r="H160" s="666" t="s">
        <v>1617</v>
      </c>
      <c r="I160" s="646"/>
      <c r="J160" s="1880"/>
      <c r="K160" s="595"/>
      <c r="L160" s="433"/>
      <c r="M160" s="433"/>
      <c r="N160" s="433"/>
      <c r="O160" s="433"/>
      <c r="P160" s="433"/>
      <c r="Q160" s="433"/>
      <c r="R160" s="433"/>
      <c r="S160" s="433"/>
      <c r="T160" s="433"/>
      <c r="U160" s="433"/>
      <c r="V160" s="433"/>
      <c r="W160" s="404"/>
    </row>
    <row r="161" spans="1:23" s="9" customFormat="1" ht="10.9" customHeight="1" thickBot="1" x14ac:dyDescent="0.25">
      <c r="A161" s="1862"/>
      <c r="B161" s="1848"/>
      <c r="C161" s="1848"/>
      <c r="D161" s="1859"/>
      <c r="E161" s="1848"/>
      <c r="F161" s="1848"/>
      <c r="G161" s="1848"/>
      <c r="H161" s="666" t="s">
        <v>1538</v>
      </c>
      <c r="I161" s="646"/>
      <c r="J161" s="1880"/>
      <c r="K161" s="595"/>
      <c r="L161" s="433"/>
      <c r="M161" s="433"/>
      <c r="N161" s="433"/>
      <c r="O161" s="433"/>
      <c r="P161" s="433"/>
      <c r="Q161" s="433"/>
      <c r="R161" s="433"/>
      <c r="S161" s="433"/>
      <c r="T161" s="433"/>
      <c r="U161" s="433"/>
      <c r="V161" s="433"/>
      <c r="W161" s="404"/>
    </row>
    <row r="162" spans="1:23" s="9" customFormat="1" ht="10.9" customHeight="1" thickBot="1" x14ac:dyDescent="0.25">
      <c r="A162" s="1862"/>
      <c r="B162" s="1848"/>
      <c r="C162" s="1848"/>
      <c r="D162" s="1859"/>
      <c r="E162" s="1848"/>
      <c r="F162" s="1848"/>
      <c r="G162" s="1848"/>
      <c r="H162" s="666" t="s">
        <v>1537</v>
      </c>
      <c r="I162" s="646"/>
      <c r="J162" s="1880"/>
      <c r="K162" s="595"/>
      <c r="L162" s="433"/>
      <c r="M162" s="433"/>
      <c r="N162" s="433"/>
      <c r="O162" s="433"/>
      <c r="P162" s="433"/>
      <c r="Q162" s="433"/>
      <c r="R162" s="433"/>
      <c r="S162" s="433"/>
      <c r="T162" s="433"/>
      <c r="U162" s="433"/>
      <c r="V162" s="433"/>
      <c r="W162" s="404"/>
    </row>
    <row r="163" spans="1:23" s="9" customFormat="1" ht="10.9" customHeight="1" thickBot="1" x14ac:dyDescent="0.25">
      <c r="A163" s="1862"/>
      <c r="B163" s="1848"/>
      <c r="C163" s="1848"/>
      <c r="D163" s="1859"/>
      <c r="E163" s="1848"/>
      <c r="F163" s="1848"/>
      <c r="G163" s="1848"/>
      <c r="H163" s="666" t="s">
        <v>1536</v>
      </c>
      <c r="I163" s="646"/>
      <c r="J163" s="1880"/>
      <c r="K163" s="595"/>
      <c r="L163" s="433"/>
      <c r="M163" s="433"/>
      <c r="N163" s="433"/>
      <c r="O163" s="433"/>
      <c r="P163" s="433"/>
      <c r="Q163" s="433"/>
      <c r="R163" s="433"/>
      <c r="S163" s="433"/>
      <c r="T163" s="433"/>
      <c r="U163" s="433"/>
      <c r="V163" s="433"/>
      <c r="W163" s="404"/>
    </row>
    <row r="164" spans="1:23" s="9" customFormat="1" ht="10.9" customHeight="1" thickBot="1" x14ac:dyDescent="0.25">
      <c r="A164" s="1862"/>
      <c r="B164" s="1848"/>
      <c r="C164" s="1848"/>
      <c r="D164" s="1848"/>
      <c r="E164" s="1848"/>
      <c r="F164" s="1848"/>
      <c r="G164" s="1848"/>
      <c r="H164" s="666" t="s">
        <v>1528</v>
      </c>
      <c r="I164" s="646">
        <v>43465</v>
      </c>
      <c r="J164" s="1880"/>
      <c r="K164" s="595"/>
      <c r="L164" s="433"/>
      <c r="M164" s="433"/>
      <c r="N164" s="433"/>
      <c r="O164" s="433"/>
      <c r="P164" s="433"/>
      <c r="Q164" s="433"/>
      <c r="R164" s="433"/>
      <c r="S164" s="433"/>
      <c r="T164" s="433"/>
      <c r="U164" s="433"/>
      <c r="V164" s="433"/>
      <c r="W164" s="404"/>
    </row>
    <row r="165" spans="1:23" s="9" customFormat="1" ht="51.75" thickBot="1" x14ac:dyDescent="0.25">
      <c r="A165" s="1862"/>
      <c r="B165" s="682" t="s">
        <v>374</v>
      </c>
      <c r="C165" s="682" t="s">
        <v>1071</v>
      </c>
      <c r="D165" s="684">
        <v>1</v>
      </c>
      <c r="E165" s="682" t="s">
        <v>1386</v>
      </c>
      <c r="F165" s="682" t="s">
        <v>1529</v>
      </c>
      <c r="G165" s="682" t="s">
        <v>1051</v>
      </c>
      <c r="H165" s="666" t="s">
        <v>1618</v>
      </c>
      <c r="I165" s="647">
        <v>42916</v>
      </c>
      <c r="J165" s="597" t="s">
        <v>1072</v>
      </c>
      <c r="K165" s="596"/>
      <c r="L165" s="439"/>
      <c r="M165" s="439"/>
      <c r="N165" s="439"/>
      <c r="O165" s="439"/>
      <c r="P165" s="439"/>
      <c r="Q165" s="439"/>
      <c r="R165" s="439"/>
      <c r="S165" s="439"/>
      <c r="T165" s="439"/>
      <c r="U165" s="439"/>
      <c r="V165" s="439"/>
      <c r="W165" s="404"/>
    </row>
    <row r="166" spans="1:23" s="9" customFormat="1" ht="39" thickBot="1" x14ac:dyDescent="0.25">
      <c r="A166" s="1862" t="s">
        <v>1483</v>
      </c>
      <c r="B166" s="1848" t="s">
        <v>374</v>
      </c>
      <c r="C166" s="1848" t="s">
        <v>1770</v>
      </c>
      <c r="D166" s="1859">
        <v>0.6</v>
      </c>
      <c r="E166" s="1848" t="s">
        <v>1769</v>
      </c>
      <c r="F166" s="1848" t="s">
        <v>1771</v>
      </c>
      <c r="G166" s="1848" t="s">
        <v>1092</v>
      </c>
      <c r="H166" s="666" t="s">
        <v>1619</v>
      </c>
      <c r="I166" s="648" t="s">
        <v>1096</v>
      </c>
      <c r="J166" s="1881" t="s">
        <v>249</v>
      </c>
      <c r="K166" s="598"/>
      <c r="L166" s="599"/>
      <c r="M166" s="599"/>
      <c r="N166" s="599"/>
      <c r="O166" s="599"/>
      <c r="P166" s="599"/>
      <c r="Q166" s="599"/>
      <c r="R166" s="599"/>
      <c r="S166" s="599"/>
      <c r="T166" s="599"/>
      <c r="U166" s="599"/>
      <c r="V166" s="599"/>
      <c r="W166" s="404"/>
    </row>
    <row r="167" spans="1:23" s="9" customFormat="1" ht="39" thickBot="1" x14ac:dyDescent="0.25">
      <c r="A167" s="1862"/>
      <c r="B167" s="1848"/>
      <c r="C167" s="1848"/>
      <c r="D167" s="1859"/>
      <c r="E167" s="1848"/>
      <c r="F167" s="1848"/>
      <c r="G167" s="1848"/>
      <c r="H167" s="666" t="s">
        <v>1620</v>
      </c>
      <c r="I167" s="643" t="s">
        <v>1097</v>
      </c>
      <c r="J167" s="1864"/>
      <c r="K167" s="595"/>
      <c r="L167" s="433"/>
      <c r="M167" s="433"/>
      <c r="N167" s="433"/>
      <c r="O167" s="433"/>
      <c r="P167" s="433"/>
      <c r="Q167" s="433"/>
      <c r="R167" s="433"/>
      <c r="S167" s="433"/>
      <c r="T167" s="433"/>
      <c r="U167" s="433"/>
      <c r="V167" s="433"/>
      <c r="W167" s="404"/>
    </row>
    <row r="168" spans="1:23" s="9" customFormat="1" ht="39" thickBot="1" x14ac:dyDescent="0.25">
      <c r="A168" s="1862"/>
      <c r="B168" s="1848"/>
      <c r="C168" s="1848"/>
      <c r="D168" s="1859"/>
      <c r="E168" s="1848"/>
      <c r="F168" s="1848"/>
      <c r="G168" s="1848"/>
      <c r="H168" s="666" t="s">
        <v>1095</v>
      </c>
      <c r="I168" s="643" t="s">
        <v>1097</v>
      </c>
      <c r="J168" s="1864"/>
      <c r="K168" s="595"/>
      <c r="L168" s="433"/>
      <c r="M168" s="433"/>
      <c r="N168" s="433"/>
      <c r="O168" s="433"/>
      <c r="P168" s="433"/>
      <c r="Q168" s="433"/>
      <c r="R168" s="433"/>
      <c r="S168" s="433"/>
      <c r="T168" s="433"/>
      <c r="U168" s="433"/>
      <c r="V168" s="433"/>
      <c r="W168" s="404"/>
    </row>
    <row r="169" spans="1:23" s="9" customFormat="1" ht="13.5" thickBot="1" x14ac:dyDescent="0.25">
      <c r="A169" s="1862"/>
      <c r="B169" s="1848" t="s">
        <v>374</v>
      </c>
      <c r="C169" s="1848" t="s">
        <v>1773</v>
      </c>
      <c r="D169" s="1848" t="s">
        <v>1772</v>
      </c>
      <c r="E169" s="1848" t="s">
        <v>1100</v>
      </c>
      <c r="F169" s="1848" t="s">
        <v>1101</v>
      </c>
      <c r="G169" s="1848" t="s">
        <v>1102</v>
      </c>
      <c r="H169" s="666" t="s">
        <v>1104</v>
      </c>
      <c r="I169" s="649">
        <v>43131</v>
      </c>
      <c r="J169" s="1864" t="s">
        <v>1103</v>
      </c>
      <c r="K169" s="595"/>
      <c r="L169" s="433"/>
      <c r="M169" s="433"/>
      <c r="N169" s="433"/>
      <c r="O169" s="433"/>
      <c r="P169" s="433"/>
      <c r="Q169" s="433"/>
      <c r="R169" s="433"/>
      <c r="S169" s="433"/>
      <c r="T169" s="433"/>
      <c r="U169" s="433"/>
      <c r="V169" s="433"/>
      <c r="W169" s="404"/>
    </row>
    <row r="170" spans="1:23" s="9" customFormat="1" ht="26.25" thickBot="1" x14ac:dyDescent="0.25">
      <c r="A170" s="1862"/>
      <c r="B170" s="1848"/>
      <c r="C170" s="1848"/>
      <c r="D170" s="1848"/>
      <c r="E170" s="1848"/>
      <c r="F170" s="1848"/>
      <c r="G170" s="1848"/>
      <c r="H170" s="666" t="s">
        <v>1539</v>
      </c>
      <c r="I170" s="649">
        <v>43159</v>
      </c>
      <c r="J170" s="1864"/>
      <c r="K170" s="595"/>
      <c r="L170" s="433"/>
      <c r="M170" s="433"/>
      <c r="N170" s="433"/>
      <c r="O170" s="433"/>
      <c r="P170" s="433"/>
      <c r="Q170" s="433"/>
      <c r="R170" s="433"/>
      <c r="S170" s="433"/>
      <c r="T170" s="433"/>
      <c r="U170" s="433"/>
      <c r="V170" s="433"/>
      <c r="W170" s="404"/>
    </row>
    <row r="171" spans="1:23" s="9" customFormat="1" ht="39" thickBot="1" x14ac:dyDescent="0.25">
      <c r="A171" s="1862"/>
      <c r="B171" s="1848"/>
      <c r="C171" s="1848"/>
      <c r="D171" s="1848"/>
      <c r="E171" s="1848"/>
      <c r="F171" s="1848"/>
      <c r="G171" s="1848"/>
      <c r="H171" s="666" t="s">
        <v>1106</v>
      </c>
      <c r="I171" s="643" t="s">
        <v>1109</v>
      </c>
      <c r="J171" s="1864"/>
      <c r="K171" s="595"/>
      <c r="L171" s="433"/>
      <c r="M171" s="433"/>
      <c r="N171" s="433"/>
      <c r="O171" s="433"/>
      <c r="P171" s="433"/>
      <c r="Q171" s="433"/>
      <c r="R171" s="433"/>
      <c r="S171" s="433"/>
      <c r="T171" s="433"/>
      <c r="U171" s="433"/>
      <c r="V171" s="433"/>
      <c r="W171" s="404"/>
    </row>
    <row r="172" spans="1:23" s="9" customFormat="1" ht="26.25" thickBot="1" x14ac:dyDescent="0.25">
      <c r="A172" s="1862"/>
      <c r="B172" s="1848"/>
      <c r="C172" s="1848"/>
      <c r="D172" s="1848"/>
      <c r="E172" s="1848"/>
      <c r="F172" s="1848"/>
      <c r="G172" s="1848"/>
      <c r="H172" s="666" t="s">
        <v>1107</v>
      </c>
      <c r="I172" s="649">
        <v>43281</v>
      </c>
      <c r="J172" s="1864"/>
      <c r="K172" s="595"/>
      <c r="L172" s="433"/>
      <c r="M172" s="433"/>
      <c r="N172" s="433"/>
      <c r="O172" s="433"/>
      <c r="P172" s="433"/>
      <c r="Q172" s="433"/>
      <c r="R172" s="433"/>
      <c r="S172" s="433"/>
      <c r="T172" s="433"/>
      <c r="U172" s="433"/>
      <c r="V172" s="433"/>
      <c r="W172" s="404"/>
    </row>
    <row r="173" spans="1:23" s="9" customFormat="1" ht="13.5" thickBot="1" x14ac:dyDescent="0.25">
      <c r="A173" s="1862"/>
      <c r="B173" s="1848"/>
      <c r="C173" s="1848"/>
      <c r="D173" s="1848"/>
      <c r="E173" s="1848"/>
      <c r="F173" s="1848"/>
      <c r="G173" s="1848"/>
      <c r="H173" s="666" t="s">
        <v>1108</v>
      </c>
      <c r="I173" s="649" t="s">
        <v>1110</v>
      </c>
      <c r="J173" s="1864"/>
      <c r="K173" s="600"/>
      <c r="L173" s="601"/>
      <c r="M173" s="601"/>
      <c r="N173" s="601"/>
      <c r="O173" s="601"/>
      <c r="P173" s="601"/>
      <c r="Q173" s="601"/>
      <c r="R173" s="601"/>
      <c r="S173" s="601"/>
      <c r="T173" s="601"/>
      <c r="U173" s="601"/>
      <c r="V173" s="601"/>
      <c r="W173" s="407"/>
    </row>
    <row r="174" spans="1:23" s="9" customFormat="1" ht="26.25" thickBot="1" x14ac:dyDescent="0.25">
      <c r="A174" s="1862" t="s">
        <v>1535</v>
      </c>
      <c r="B174" s="1848" t="s">
        <v>374</v>
      </c>
      <c r="C174" s="1848" t="s">
        <v>1621</v>
      </c>
      <c r="D174" s="1848" t="s">
        <v>1530</v>
      </c>
      <c r="E174" s="1848" t="s">
        <v>1531</v>
      </c>
      <c r="F174" s="1848" t="s">
        <v>1532</v>
      </c>
      <c r="G174" s="1848" t="s">
        <v>1729</v>
      </c>
      <c r="H174" s="667" t="s">
        <v>1540</v>
      </c>
      <c r="I174" s="650"/>
      <c r="J174" s="600"/>
      <c r="K174" s="601"/>
      <c r="L174" s="601"/>
      <c r="M174" s="601"/>
      <c r="N174" s="601"/>
      <c r="O174" s="601"/>
      <c r="P174" s="601"/>
      <c r="Q174" s="601"/>
      <c r="R174" s="601"/>
      <c r="S174" s="601"/>
      <c r="T174" s="601"/>
      <c r="U174" s="602"/>
      <c r="V174" s="602"/>
    </row>
    <row r="175" spans="1:23" s="9" customFormat="1" ht="26.25" thickBot="1" x14ac:dyDescent="0.25">
      <c r="A175" s="1862"/>
      <c r="B175" s="1848"/>
      <c r="C175" s="1848"/>
      <c r="D175" s="1848"/>
      <c r="E175" s="1848"/>
      <c r="F175" s="1848"/>
      <c r="G175" s="1848"/>
      <c r="H175" s="667" t="s">
        <v>1622</v>
      </c>
      <c r="I175" s="650"/>
      <c r="J175" s="600"/>
      <c r="K175" s="601"/>
      <c r="L175" s="601"/>
      <c r="M175" s="601"/>
      <c r="N175" s="601"/>
      <c r="O175" s="601"/>
      <c r="P175" s="601"/>
      <c r="Q175" s="601"/>
      <c r="R175" s="601"/>
      <c r="S175" s="601"/>
      <c r="T175" s="601"/>
      <c r="U175" s="602"/>
      <c r="V175" s="602"/>
    </row>
    <row r="176" spans="1:23" s="9" customFormat="1" ht="13.5" thickBot="1" x14ac:dyDescent="0.25">
      <c r="A176" s="1862"/>
      <c r="B176" s="1848"/>
      <c r="C176" s="1848"/>
      <c r="D176" s="1848"/>
      <c r="E176" s="1848"/>
      <c r="F176" s="1848"/>
      <c r="G176" s="1848"/>
      <c r="H176" s="667" t="s">
        <v>1533</v>
      </c>
      <c r="I176" s="650"/>
      <c r="J176" s="600"/>
      <c r="K176" s="601"/>
      <c r="L176" s="601"/>
      <c r="M176" s="601"/>
      <c r="N176" s="601"/>
      <c r="O176" s="601"/>
      <c r="P176" s="601"/>
      <c r="Q176" s="601"/>
      <c r="R176" s="601"/>
      <c r="S176" s="601"/>
      <c r="T176" s="601"/>
      <c r="U176" s="602"/>
      <c r="V176" s="602"/>
    </row>
    <row r="177" spans="1:24" s="622" customFormat="1" ht="51.75" thickBot="1" x14ac:dyDescent="0.25">
      <c r="A177" s="1862"/>
      <c r="B177" s="1849" t="s">
        <v>374</v>
      </c>
      <c r="C177" s="1848" t="s">
        <v>1774</v>
      </c>
      <c r="D177" s="1848" t="s">
        <v>1534</v>
      </c>
      <c r="E177" s="1848" t="s">
        <v>1775</v>
      </c>
      <c r="F177" s="1848" t="s">
        <v>1775</v>
      </c>
      <c r="G177" s="1848" t="s">
        <v>1729</v>
      </c>
      <c r="H177" s="666" t="s">
        <v>1140</v>
      </c>
      <c r="I177" s="651">
        <v>43456</v>
      </c>
      <c r="J177" s="1865" t="s">
        <v>1139</v>
      </c>
      <c r="K177" s="595"/>
      <c r="L177" s="433"/>
      <c r="M177" s="433"/>
      <c r="N177" s="433"/>
      <c r="O177" s="433"/>
      <c r="P177" s="433"/>
      <c r="Q177" s="433"/>
      <c r="R177" s="433"/>
      <c r="S177" s="433"/>
      <c r="T177" s="433"/>
      <c r="U177" s="433"/>
      <c r="V177" s="603">
        <v>43456</v>
      </c>
      <c r="X177" s="9"/>
    </row>
    <row r="178" spans="1:24" s="622" customFormat="1" ht="39" thickBot="1" x14ac:dyDescent="0.25">
      <c r="A178" s="1862"/>
      <c r="B178" s="1849"/>
      <c r="C178" s="1848"/>
      <c r="D178" s="1848"/>
      <c r="E178" s="1848"/>
      <c r="F178" s="1848"/>
      <c r="G178" s="1848"/>
      <c r="H178" s="666" t="s">
        <v>1141</v>
      </c>
      <c r="I178" s="651">
        <v>43456</v>
      </c>
      <c r="J178" s="1865"/>
      <c r="K178" s="595"/>
      <c r="L178" s="433"/>
      <c r="M178" s="433"/>
      <c r="N178" s="433"/>
      <c r="O178" s="433"/>
      <c r="P178" s="433"/>
      <c r="Q178" s="433"/>
      <c r="R178" s="433"/>
      <c r="S178" s="433"/>
      <c r="T178" s="433"/>
      <c r="U178" s="603">
        <v>43434</v>
      </c>
      <c r="V178" s="434"/>
      <c r="X178" s="9"/>
    </row>
    <row r="179" spans="1:24" s="622" customFormat="1" ht="51.75" thickBot="1" x14ac:dyDescent="0.25">
      <c r="A179" s="1862"/>
      <c r="B179" s="1849"/>
      <c r="C179" s="1848"/>
      <c r="D179" s="1848"/>
      <c r="E179" s="1848"/>
      <c r="F179" s="1848"/>
      <c r="G179" s="1848"/>
      <c r="H179" s="666" t="s">
        <v>1143</v>
      </c>
      <c r="I179" s="651">
        <v>43465</v>
      </c>
      <c r="J179" s="1865"/>
      <c r="K179" s="595"/>
      <c r="L179" s="433"/>
      <c r="M179" s="433"/>
      <c r="N179" s="433"/>
      <c r="O179" s="433"/>
      <c r="P179" s="433"/>
      <c r="Q179" s="433"/>
      <c r="R179" s="433"/>
      <c r="S179" s="433"/>
      <c r="T179" s="433"/>
      <c r="U179" s="433"/>
      <c r="V179" s="603">
        <v>43465</v>
      </c>
      <c r="X179" s="9"/>
    </row>
    <row r="180" spans="1:24" s="9" customFormat="1" ht="39" thickBot="1" x14ac:dyDescent="0.25">
      <c r="A180" s="1862"/>
      <c r="B180" s="1848" t="s">
        <v>374</v>
      </c>
      <c r="C180" s="1848" t="s">
        <v>1778</v>
      </c>
      <c r="D180" s="1848">
        <v>2</v>
      </c>
      <c r="E180" s="1848" t="s">
        <v>1776</v>
      </c>
      <c r="F180" s="1848" t="s">
        <v>1777</v>
      </c>
      <c r="G180" s="1848" t="s">
        <v>1729</v>
      </c>
      <c r="H180" s="666" t="s">
        <v>1147</v>
      </c>
      <c r="I180" s="651">
        <v>43465</v>
      </c>
      <c r="J180" s="1845" t="s">
        <v>1146</v>
      </c>
      <c r="K180" s="595"/>
      <c r="L180" s="433"/>
      <c r="M180" s="433"/>
      <c r="N180" s="433"/>
      <c r="O180" s="433"/>
      <c r="P180" s="433"/>
      <c r="Q180" s="433"/>
      <c r="R180" s="433"/>
      <c r="S180" s="433"/>
      <c r="T180" s="433"/>
      <c r="U180" s="433"/>
      <c r="V180" s="603">
        <v>43465</v>
      </c>
    </row>
    <row r="181" spans="1:24" s="9" customFormat="1" ht="64.5" thickBot="1" x14ac:dyDescent="0.25">
      <c r="A181" s="1862"/>
      <c r="B181" s="1848"/>
      <c r="C181" s="1848"/>
      <c r="D181" s="1848"/>
      <c r="E181" s="1848"/>
      <c r="F181" s="1848"/>
      <c r="G181" s="1848"/>
      <c r="H181" s="666" t="s">
        <v>1148</v>
      </c>
      <c r="I181" s="651">
        <v>43465</v>
      </c>
      <c r="J181" s="1845"/>
      <c r="K181" s="595"/>
      <c r="L181" s="433"/>
      <c r="M181" s="433"/>
      <c r="N181" s="433"/>
      <c r="O181" s="433"/>
      <c r="P181" s="433"/>
      <c r="Q181" s="433"/>
      <c r="R181" s="433"/>
      <c r="S181" s="433"/>
      <c r="T181" s="433"/>
      <c r="U181" s="433"/>
      <c r="V181" s="603">
        <v>43465</v>
      </c>
    </row>
    <row r="182" spans="1:24" s="9" customFormat="1" ht="26.25" thickBot="1" x14ac:dyDescent="0.25">
      <c r="A182" s="1862"/>
      <c r="B182" s="1848" t="s">
        <v>374</v>
      </c>
      <c r="C182" s="1848" t="s">
        <v>1149</v>
      </c>
      <c r="D182" s="1848">
        <v>7</v>
      </c>
      <c r="E182" s="1848" t="s">
        <v>1150</v>
      </c>
      <c r="F182" s="1848" t="s">
        <v>1151</v>
      </c>
      <c r="G182" s="1848" t="s">
        <v>1729</v>
      </c>
      <c r="H182" s="666" t="s">
        <v>1152</v>
      </c>
      <c r="I182" s="651">
        <v>43456</v>
      </c>
      <c r="J182" s="1845" t="s">
        <v>1146</v>
      </c>
      <c r="K182" s="595"/>
      <c r="L182" s="433"/>
      <c r="M182" s="433"/>
      <c r="N182" s="433"/>
      <c r="O182" s="433"/>
      <c r="P182" s="433"/>
      <c r="Q182" s="433"/>
      <c r="R182" s="433"/>
      <c r="S182" s="433"/>
      <c r="T182" s="433"/>
      <c r="U182" s="433"/>
      <c r="V182" s="603">
        <v>43456</v>
      </c>
    </row>
    <row r="183" spans="1:24" s="9" customFormat="1" ht="26.25" thickBot="1" x14ac:dyDescent="0.25">
      <c r="A183" s="1862"/>
      <c r="B183" s="1848"/>
      <c r="C183" s="1848"/>
      <c r="D183" s="1848"/>
      <c r="E183" s="1848"/>
      <c r="F183" s="1848"/>
      <c r="G183" s="1848"/>
      <c r="H183" s="666" t="s">
        <v>1153</v>
      </c>
      <c r="I183" s="651">
        <v>43456</v>
      </c>
      <c r="J183" s="1845"/>
      <c r="K183" s="595"/>
      <c r="L183" s="433"/>
      <c r="M183" s="433"/>
      <c r="N183" s="433"/>
      <c r="O183" s="433"/>
      <c r="P183" s="433"/>
      <c r="Q183" s="433"/>
      <c r="R183" s="433"/>
      <c r="S183" s="433"/>
      <c r="T183" s="433"/>
      <c r="U183" s="433"/>
      <c r="V183" s="603">
        <v>43456</v>
      </c>
    </row>
    <row r="184" spans="1:24" s="9" customFormat="1" ht="39" thickBot="1" x14ac:dyDescent="0.25">
      <c r="A184" s="1862"/>
      <c r="B184" s="1848"/>
      <c r="C184" s="1848"/>
      <c r="D184" s="1848"/>
      <c r="E184" s="1848"/>
      <c r="F184" s="1848"/>
      <c r="G184" s="1848"/>
      <c r="H184" s="666" t="s">
        <v>1154</v>
      </c>
      <c r="I184" s="651">
        <v>43456</v>
      </c>
      <c r="J184" s="1845"/>
      <c r="K184" s="595"/>
      <c r="L184" s="433"/>
      <c r="M184" s="433"/>
      <c r="N184" s="433"/>
      <c r="O184" s="433"/>
      <c r="P184" s="433"/>
      <c r="Q184" s="433"/>
      <c r="R184" s="433"/>
      <c r="S184" s="433"/>
      <c r="T184" s="433"/>
      <c r="U184" s="603">
        <v>43434</v>
      </c>
      <c r="V184" s="434"/>
    </row>
    <row r="185" spans="1:24" s="9" customFormat="1" ht="26.25" thickBot="1" x14ac:dyDescent="0.25">
      <c r="A185" s="1862"/>
      <c r="B185" s="1848"/>
      <c r="C185" s="1848"/>
      <c r="D185" s="1848"/>
      <c r="E185" s="1848"/>
      <c r="F185" s="1848"/>
      <c r="G185" s="1848"/>
      <c r="H185" s="666" t="s">
        <v>1155</v>
      </c>
      <c r="I185" s="651">
        <v>43456</v>
      </c>
      <c r="J185" s="1845"/>
      <c r="K185" s="595"/>
      <c r="L185" s="433"/>
      <c r="M185" s="433"/>
      <c r="N185" s="433"/>
      <c r="O185" s="433"/>
      <c r="P185" s="433"/>
      <c r="Q185" s="433"/>
      <c r="R185" s="433"/>
      <c r="S185" s="433"/>
      <c r="T185" s="433"/>
      <c r="U185" s="603">
        <v>43434</v>
      </c>
      <c r="V185" s="434"/>
    </row>
    <row r="186" spans="1:24" s="9" customFormat="1" ht="39" thickBot="1" x14ac:dyDescent="0.25">
      <c r="A186" s="1862"/>
      <c r="B186" s="1848"/>
      <c r="C186" s="1848"/>
      <c r="D186" s="1848"/>
      <c r="E186" s="1848"/>
      <c r="F186" s="1848"/>
      <c r="G186" s="1848"/>
      <c r="H186" s="666" t="s">
        <v>1156</v>
      </c>
      <c r="I186" s="651">
        <v>43456</v>
      </c>
      <c r="J186" s="1845"/>
      <c r="K186" s="595"/>
      <c r="L186" s="604"/>
      <c r="M186" s="433"/>
      <c r="N186" s="433"/>
      <c r="O186" s="433"/>
      <c r="P186" s="433"/>
      <c r="Q186" s="433"/>
      <c r="R186" s="603">
        <v>43342</v>
      </c>
      <c r="S186" s="433"/>
      <c r="T186" s="433"/>
      <c r="U186" s="433"/>
      <c r="V186" s="434"/>
    </row>
    <row r="187" spans="1:24" s="9" customFormat="1" ht="39" thickBot="1" x14ac:dyDescent="0.25">
      <c r="A187" s="1862"/>
      <c r="B187" s="1848"/>
      <c r="C187" s="1848"/>
      <c r="D187" s="1848"/>
      <c r="E187" s="1848"/>
      <c r="F187" s="1848"/>
      <c r="G187" s="1848"/>
      <c r="H187" s="666" t="s">
        <v>1157</v>
      </c>
      <c r="I187" s="651">
        <v>43465</v>
      </c>
      <c r="J187" s="1845"/>
      <c r="K187" s="595"/>
      <c r="L187" s="433"/>
      <c r="M187" s="433"/>
      <c r="N187" s="433"/>
      <c r="O187" s="433"/>
      <c r="P187" s="433"/>
      <c r="Q187" s="433"/>
      <c r="R187" s="433"/>
      <c r="S187" s="433"/>
      <c r="T187" s="433"/>
      <c r="U187" s="433"/>
      <c r="V187" s="603">
        <v>43465</v>
      </c>
    </row>
    <row r="188" spans="1:24" s="9" customFormat="1" ht="26.25" thickBot="1" x14ac:dyDescent="0.25">
      <c r="A188" s="1862"/>
      <c r="B188" s="1848"/>
      <c r="C188" s="1848"/>
      <c r="D188" s="1848"/>
      <c r="E188" s="1848"/>
      <c r="F188" s="1848"/>
      <c r="G188" s="1848"/>
      <c r="H188" s="666" t="s">
        <v>1158</v>
      </c>
      <c r="I188" s="651">
        <v>43465</v>
      </c>
      <c r="J188" s="1845"/>
      <c r="K188" s="595"/>
      <c r="L188" s="433"/>
      <c r="M188" s="433"/>
      <c r="N188" s="433"/>
      <c r="O188" s="433"/>
      <c r="P188" s="433"/>
      <c r="Q188" s="433"/>
      <c r="R188" s="433"/>
      <c r="S188" s="433"/>
      <c r="T188" s="433"/>
      <c r="U188" s="433"/>
      <c r="V188" s="603">
        <v>43465</v>
      </c>
    </row>
    <row r="189" spans="1:24" s="9" customFormat="1" ht="39" thickBot="1" x14ac:dyDescent="0.25">
      <c r="A189" s="1862"/>
      <c r="B189" s="1848" t="s">
        <v>374</v>
      </c>
      <c r="C189" s="1848" t="s">
        <v>1733</v>
      </c>
      <c r="D189" s="1848">
        <v>1</v>
      </c>
      <c r="E189" s="1848" t="s">
        <v>1779</v>
      </c>
      <c r="F189" s="1848" t="s">
        <v>1160</v>
      </c>
      <c r="G189" s="1848" t="s">
        <v>1729</v>
      </c>
      <c r="H189" s="666" t="s">
        <v>1163</v>
      </c>
      <c r="I189" s="651">
        <v>43456</v>
      </c>
      <c r="J189" s="1860" t="s">
        <v>1161</v>
      </c>
      <c r="K189" s="595"/>
      <c r="L189" s="433"/>
      <c r="M189" s="433"/>
      <c r="N189" s="433"/>
      <c r="O189" s="433"/>
      <c r="P189" s="433"/>
      <c r="Q189" s="433"/>
      <c r="R189" s="433"/>
      <c r="S189" s="433"/>
      <c r="T189" s="433"/>
      <c r="U189" s="433"/>
      <c r="V189" s="603">
        <v>43465</v>
      </c>
    </row>
    <row r="190" spans="1:24" s="9" customFormat="1" ht="26.25" thickBot="1" x14ac:dyDescent="0.25">
      <c r="A190" s="1862"/>
      <c r="B190" s="1848"/>
      <c r="C190" s="1848"/>
      <c r="D190" s="1848"/>
      <c r="E190" s="1848"/>
      <c r="F190" s="1848"/>
      <c r="G190" s="1848"/>
      <c r="H190" s="666" t="s">
        <v>1164</v>
      </c>
      <c r="I190" s="652">
        <v>43456</v>
      </c>
      <c r="J190" s="1861"/>
      <c r="K190" s="595"/>
      <c r="L190" s="433"/>
      <c r="M190" s="433"/>
      <c r="N190" s="433"/>
      <c r="O190" s="433"/>
      <c r="P190" s="433"/>
      <c r="Q190" s="433"/>
      <c r="R190" s="433"/>
      <c r="S190" s="433"/>
      <c r="T190" s="433"/>
      <c r="U190" s="433"/>
      <c r="V190" s="603">
        <v>43465</v>
      </c>
    </row>
    <row r="191" spans="1:24" s="9" customFormat="1" ht="13.5" thickBot="1" x14ac:dyDescent="0.25">
      <c r="A191" s="1862"/>
      <c r="B191" s="1848" t="s">
        <v>374</v>
      </c>
      <c r="C191" s="1848" t="s">
        <v>1782</v>
      </c>
      <c r="D191" s="1848">
        <v>2</v>
      </c>
      <c r="E191" s="1848" t="s">
        <v>1780</v>
      </c>
      <c r="F191" s="1848" t="s">
        <v>1781</v>
      </c>
      <c r="G191" s="1848" t="s">
        <v>1729</v>
      </c>
      <c r="H191" s="666" t="s">
        <v>1169</v>
      </c>
      <c r="I191" s="651">
        <v>43456</v>
      </c>
      <c r="J191" s="1845" t="s">
        <v>1168</v>
      </c>
      <c r="K191" s="595"/>
      <c r="L191" s="433"/>
      <c r="M191" s="433"/>
      <c r="N191" s="433"/>
      <c r="O191" s="433"/>
      <c r="P191" s="433"/>
      <c r="Q191" s="433"/>
      <c r="R191" s="433"/>
      <c r="S191" s="433"/>
      <c r="T191" s="433"/>
      <c r="U191" s="433"/>
      <c r="V191" s="603">
        <v>43465</v>
      </c>
    </row>
    <row r="192" spans="1:24" s="9" customFormat="1" ht="13.5" thickBot="1" x14ac:dyDescent="0.25">
      <c r="A192" s="1862"/>
      <c r="B192" s="1848"/>
      <c r="C192" s="1848"/>
      <c r="D192" s="1848"/>
      <c r="E192" s="1848"/>
      <c r="F192" s="1848"/>
      <c r="G192" s="1848"/>
      <c r="H192" s="666" t="s">
        <v>1170</v>
      </c>
      <c r="I192" s="651">
        <v>43456</v>
      </c>
      <c r="J192" s="1845"/>
      <c r="K192" s="595"/>
      <c r="L192" s="433"/>
      <c r="M192" s="433"/>
      <c r="N192" s="433"/>
      <c r="O192" s="433"/>
      <c r="P192" s="433"/>
      <c r="Q192" s="433"/>
      <c r="R192" s="433"/>
      <c r="S192" s="433"/>
      <c r="T192" s="433"/>
      <c r="U192" s="433"/>
      <c r="V192" s="603">
        <v>43465</v>
      </c>
    </row>
    <row r="193" spans="1:22" s="9" customFormat="1" ht="13.5" thickBot="1" x14ac:dyDescent="0.25">
      <c r="A193" s="1862"/>
      <c r="B193" s="1848"/>
      <c r="C193" s="1848"/>
      <c r="D193" s="1848"/>
      <c r="E193" s="1848"/>
      <c r="F193" s="1848"/>
      <c r="G193" s="1848"/>
      <c r="H193" s="666" t="s">
        <v>1171</v>
      </c>
      <c r="I193" s="651">
        <v>43456</v>
      </c>
      <c r="J193" s="1845"/>
      <c r="K193" s="595"/>
      <c r="L193" s="433"/>
      <c r="M193" s="433"/>
      <c r="N193" s="433"/>
      <c r="O193" s="433"/>
      <c r="P193" s="433"/>
      <c r="Q193" s="433"/>
      <c r="R193" s="433"/>
      <c r="S193" s="433"/>
      <c r="T193" s="433"/>
      <c r="U193" s="433"/>
      <c r="V193" s="603">
        <v>43455</v>
      </c>
    </row>
    <row r="194" spans="1:22" s="9" customFormat="1" ht="13.5" thickBot="1" x14ac:dyDescent="0.25">
      <c r="A194" s="1862"/>
      <c r="B194" s="1848"/>
      <c r="C194" s="1848"/>
      <c r="D194" s="1848"/>
      <c r="E194" s="1848"/>
      <c r="F194" s="1848"/>
      <c r="G194" s="1848"/>
      <c r="H194" s="666" t="s">
        <v>1172</v>
      </c>
      <c r="I194" s="651">
        <v>43456</v>
      </c>
      <c r="J194" s="1845"/>
      <c r="K194" s="595"/>
      <c r="L194" s="433"/>
      <c r="M194" s="433"/>
      <c r="N194" s="433"/>
      <c r="O194" s="433"/>
      <c r="P194" s="433"/>
      <c r="Q194" s="433"/>
      <c r="R194" s="433"/>
      <c r="S194" s="433"/>
      <c r="T194" s="433"/>
      <c r="U194" s="433"/>
      <c r="V194" s="603">
        <v>43455</v>
      </c>
    </row>
    <row r="195" spans="1:22" s="9" customFormat="1" ht="13.5" thickBot="1" x14ac:dyDescent="0.25">
      <c r="A195" s="1862"/>
      <c r="B195" s="1848"/>
      <c r="C195" s="1848"/>
      <c r="D195" s="1848"/>
      <c r="E195" s="1848"/>
      <c r="F195" s="1848"/>
      <c r="G195" s="1848"/>
      <c r="H195" s="666" t="s">
        <v>1173</v>
      </c>
      <c r="I195" s="651">
        <v>43456</v>
      </c>
      <c r="J195" s="1845"/>
      <c r="K195" s="596"/>
      <c r="L195" s="439"/>
      <c r="M195" s="439"/>
      <c r="N195" s="439"/>
      <c r="O195" s="439"/>
      <c r="P195" s="439"/>
      <c r="Q195" s="439"/>
      <c r="R195" s="439"/>
      <c r="S195" s="439"/>
      <c r="T195" s="439"/>
      <c r="U195" s="439"/>
      <c r="V195" s="603">
        <v>43455</v>
      </c>
    </row>
    <row r="196" spans="1:22" s="9" customFormat="1" ht="64.5" thickBot="1" x14ac:dyDescent="0.25">
      <c r="A196" s="1862" t="s">
        <v>1547</v>
      </c>
      <c r="B196" s="1846" t="s">
        <v>1599</v>
      </c>
      <c r="C196" s="1846" t="s">
        <v>1784</v>
      </c>
      <c r="D196" s="1859">
        <v>0.8</v>
      </c>
      <c r="E196" s="1846" t="s">
        <v>1783</v>
      </c>
      <c r="F196" s="1846" t="s">
        <v>1186</v>
      </c>
      <c r="G196" s="1846" t="s">
        <v>1510</v>
      </c>
      <c r="H196" s="666" t="s">
        <v>1187</v>
      </c>
      <c r="I196" s="653">
        <v>43190</v>
      </c>
      <c r="J196" s="1847" t="s">
        <v>292</v>
      </c>
      <c r="K196" s="579"/>
      <c r="L196" s="580"/>
      <c r="M196" s="580"/>
      <c r="N196" s="580"/>
      <c r="O196" s="580"/>
      <c r="P196" s="580"/>
      <c r="Q196" s="580"/>
      <c r="R196" s="580"/>
      <c r="S196" s="580"/>
      <c r="T196" s="580"/>
      <c r="U196" s="580"/>
      <c r="V196" s="571"/>
    </row>
    <row r="197" spans="1:22" s="9" customFormat="1" ht="26.25" thickBot="1" x14ac:dyDescent="0.25">
      <c r="A197" s="1862"/>
      <c r="B197" s="1846"/>
      <c r="C197" s="1846"/>
      <c r="D197" s="1859"/>
      <c r="E197" s="1846"/>
      <c r="F197" s="1846"/>
      <c r="G197" s="1846"/>
      <c r="H197" s="666" t="s">
        <v>1188</v>
      </c>
      <c r="I197" s="653">
        <v>43465</v>
      </c>
      <c r="J197" s="1847"/>
      <c r="K197" s="572"/>
      <c r="L197" s="573"/>
      <c r="M197" s="573"/>
      <c r="N197" s="573"/>
      <c r="O197" s="573"/>
      <c r="P197" s="573"/>
      <c r="Q197" s="573"/>
      <c r="R197" s="573"/>
      <c r="S197" s="573"/>
      <c r="T197" s="573"/>
      <c r="U197" s="573"/>
      <c r="V197" s="574"/>
    </row>
    <row r="198" spans="1:22" s="9" customFormat="1" ht="13.5" thickBot="1" x14ac:dyDescent="0.25">
      <c r="A198" s="1862"/>
      <c r="B198" s="1846"/>
      <c r="C198" s="1846"/>
      <c r="D198" s="1859"/>
      <c r="E198" s="1846"/>
      <c r="F198" s="1846"/>
      <c r="G198" s="1846"/>
      <c r="H198" s="666" t="s">
        <v>1189</v>
      </c>
      <c r="I198" s="653">
        <v>43465</v>
      </c>
      <c r="J198" s="1847"/>
      <c r="K198" s="572"/>
      <c r="L198" s="573"/>
      <c r="M198" s="573"/>
      <c r="N198" s="573"/>
      <c r="O198" s="573"/>
      <c r="P198" s="573"/>
      <c r="Q198" s="573"/>
      <c r="R198" s="573"/>
      <c r="S198" s="573"/>
      <c r="T198" s="573"/>
      <c r="U198" s="573"/>
      <c r="V198" s="574"/>
    </row>
    <row r="199" spans="1:22" s="9" customFormat="1" ht="13.5" thickBot="1" x14ac:dyDescent="0.25">
      <c r="A199" s="1862"/>
      <c r="B199" s="1848" t="s">
        <v>374</v>
      </c>
      <c r="C199" s="1848" t="s">
        <v>1216</v>
      </c>
      <c r="D199" s="1859">
        <v>0.8</v>
      </c>
      <c r="E199" s="1848" t="s">
        <v>1783</v>
      </c>
      <c r="F199" s="1848" t="s">
        <v>1191</v>
      </c>
      <c r="G199" s="1846"/>
      <c r="H199" s="666" t="s">
        <v>1192</v>
      </c>
      <c r="I199" s="585">
        <v>43190</v>
      </c>
      <c r="J199" s="1842" t="s">
        <v>243</v>
      </c>
      <c r="K199" s="572"/>
      <c r="L199" s="573"/>
      <c r="M199" s="573"/>
      <c r="N199" s="573"/>
      <c r="O199" s="573"/>
      <c r="P199" s="573"/>
      <c r="Q199" s="573"/>
      <c r="R199" s="573"/>
      <c r="S199" s="573"/>
      <c r="T199" s="573"/>
      <c r="U199" s="573"/>
      <c r="V199" s="574"/>
    </row>
    <row r="200" spans="1:22" s="9" customFormat="1" ht="13.5" thickBot="1" x14ac:dyDescent="0.25">
      <c r="A200" s="1862"/>
      <c r="B200" s="1848"/>
      <c r="C200" s="1848"/>
      <c r="D200" s="1859"/>
      <c r="E200" s="1848"/>
      <c r="F200" s="1848"/>
      <c r="G200" s="1846"/>
      <c r="H200" s="666" t="s">
        <v>1193</v>
      </c>
      <c r="I200" s="585">
        <v>43465</v>
      </c>
      <c r="J200" s="1842"/>
      <c r="K200" s="572"/>
      <c r="L200" s="573"/>
      <c r="M200" s="573"/>
      <c r="N200" s="573"/>
      <c r="O200" s="573"/>
      <c r="P200" s="573"/>
      <c r="Q200" s="573"/>
      <c r="R200" s="573"/>
      <c r="S200" s="573"/>
      <c r="T200" s="573"/>
      <c r="U200" s="573"/>
      <c r="V200" s="574"/>
    </row>
    <row r="201" spans="1:22" s="9" customFormat="1" ht="13.5" thickBot="1" x14ac:dyDescent="0.25">
      <c r="A201" s="1862"/>
      <c r="B201" s="1848"/>
      <c r="C201" s="1848"/>
      <c r="D201" s="1859"/>
      <c r="E201" s="1848"/>
      <c r="F201" s="1848"/>
      <c r="G201" s="1846"/>
      <c r="H201" s="666" t="s">
        <v>1194</v>
      </c>
      <c r="I201" s="654">
        <v>43465</v>
      </c>
      <c r="J201" s="1844"/>
      <c r="K201" s="572"/>
      <c r="L201" s="573"/>
      <c r="M201" s="573"/>
      <c r="N201" s="573"/>
      <c r="O201" s="573"/>
      <c r="P201" s="573"/>
      <c r="Q201" s="573"/>
      <c r="R201" s="573"/>
      <c r="S201" s="573"/>
      <c r="T201" s="573"/>
      <c r="U201" s="573"/>
      <c r="V201" s="574"/>
    </row>
    <row r="202" spans="1:22" s="9" customFormat="1" ht="39" thickBot="1" x14ac:dyDescent="0.25">
      <c r="A202" s="1862"/>
      <c r="B202" s="1848" t="s">
        <v>1599</v>
      </c>
      <c r="C202" s="1849" t="s">
        <v>1785</v>
      </c>
      <c r="D202" s="1859">
        <v>0.8</v>
      </c>
      <c r="E202" s="1848" t="s">
        <v>1786</v>
      </c>
      <c r="F202" s="1848" t="s">
        <v>1197</v>
      </c>
      <c r="G202" s="1846"/>
      <c r="H202" s="668" t="s">
        <v>1198</v>
      </c>
      <c r="I202" s="585">
        <v>43190</v>
      </c>
      <c r="J202" s="1842" t="s">
        <v>243</v>
      </c>
      <c r="K202" s="572"/>
      <c r="L202" s="573"/>
      <c r="M202" s="573"/>
      <c r="N202" s="573"/>
      <c r="O202" s="573"/>
      <c r="P202" s="573"/>
      <c r="Q202" s="573"/>
      <c r="R202" s="573"/>
      <c r="S202" s="573"/>
      <c r="T202" s="573"/>
      <c r="U202" s="573"/>
      <c r="V202" s="574"/>
    </row>
    <row r="203" spans="1:22" s="9" customFormat="1" ht="13.5" thickBot="1" x14ac:dyDescent="0.25">
      <c r="A203" s="1862"/>
      <c r="B203" s="1848"/>
      <c r="C203" s="1849"/>
      <c r="D203" s="1859"/>
      <c r="E203" s="1848"/>
      <c r="F203" s="1848"/>
      <c r="G203" s="1846"/>
      <c r="H203" s="668" t="s">
        <v>1199</v>
      </c>
      <c r="I203" s="585">
        <v>43465</v>
      </c>
      <c r="J203" s="1842"/>
      <c r="K203" s="572"/>
      <c r="L203" s="573"/>
      <c r="M203" s="573"/>
      <c r="N203" s="573"/>
      <c r="O203" s="573"/>
      <c r="P203" s="573"/>
      <c r="Q203" s="573"/>
      <c r="R203" s="573"/>
      <c r="S203" s="573"/>
      <c r="T203" s="573"/>
      <c r="U203" s="573"/>
      <c r="V203" s="574"/>
    </row>
    <row r="204" spans="1:22" s="9" customFormat="1" ht="13.5" thickBot="1" x14ac:dyDescent="0.25">
      <c r="A204" s="1862"/>
      <c r="B204" s="1848"/>
      <c r="C204" s="1849"/>
      <c r="D204" s="1859"/>
      <c r="E204" s="1848"/>
      <c r="F204" s="1848"/>
      <c r="G204" s="1846"/>
      <c r="H204" s="668" t="s">
        <v>1189</v>
      </c>
      <c r="I204" s="585">
        <v>43465</v>
      </c>
      <c r="J204" s="1842"/>
      <c r="K204" s="572"/>
      <c r="L204" s="573"/>
      <c r="M204" s="573"/>
      <c r="N204" s="573"/>
      <c r="O204" s="573"/>
      <c r="P204" s="573"/>
      <c r="Q204" s="573"/>
      <c r="R204" s="573"/>
      <c r="S204" s="573"/>
      <c r="T204" s="573"/>
      <c r="U204" s="573"/>
      <c r="V204" s="574"/>
    </row>
    <row r="205" spans="1:22" s="9" customFormat="1" ht="51.75" thickBot="1" x14ac:dyDescent="0.25">
      <c r="A205" s="1862"/>
      <c r="B205" s="1848" t="s">
        <v>1599</v>
      </c>
      <c r="C205" s="1849" t="s">
        <v>1195</v>
      </c>
      <c r="D205" s="1859">
        <v>0.8</v>
      </c>
      <c r="E205" s="1848" t="s">
        <v>1787</v>
      </c>
      <c r="F205" s="1848" t="s">
        <v>1197</v>
      </c>
      <c r="G205" s="1846"/>
      <c r="H205" s="668" t="s">
        <v>1218</v>
      </c>
      <c r="I205" s="585">
        <v>43190</v>
      </c>
      <c r="J205" s="1842" t="s">
        <v>243</v>
      </c>
      <c r="K205" s="572"/>
      <c r="L205" s="573"/>
      <c r="M205" s="573"/>
      <c r="N205" s="573"/>
      <c r="O205" s="573"/>
      <c r="P205" s="573"/>
      <c r="Q205" s="573"/>
      <c r="R205" s="573"/>
      <c r="S205" s="573"/>
      <c r="T205" s="573"/>
      <c r="U205" s="573"/>
      <c r="V205" s="574"/>
    </row>
    <row r="206" spans="1:22" s="9" customFormat="1" ht="13.5" thickBot="1" x14ac:dyDescent="0.25">
      <c r="A206" s="1862"/>
      <c r="B206" s="1848"/>
      <c r="C206" s="1849"/>
      <c r="D206" s="1859"/>
      <c r="E206" s="1848"/>
      <c r="F206" s="1848"/>
      <c r="G206" s="1846"/>
      <c r="H206" s="668" t="s">
        <v>1199</v>
      </c>
      <c r="I206" s="585">
        <v>43465</v>
      </c>
      <c r="J206" s="1842"/>
      <c r="K206" s="572"/>
      <c r="L206" s="573"/>
      <c r="M206" s="573"/>
      <c r="N206" s="573"/>
      <c r="O206" s="573"/>
      <c r="P206" s="573"/>
      <c r="Q206" s="573"/>
      <c r="R206" s="573"/>
      <c r="S206" s="573"/>
      <c r="T206" s="573"/>
      <c r="U206" s="573"/>
      <c r="V206" s="574"/>
    </row>
    <row r="207" spans="1:22" s="9" customFormat="1" ht="13.5" thickBot="1" x14ac:dyDescent="0.25">
      <c r="A207" s="1862"/>
      <c r="B207" s="1848"/>
      <c r="C207" s="1849"/>
      <c r="D207" s="1859"/>
      <c r="E207" s="1848"/>
      <c r="F207" s="1848"/>
      <c r="G207" s="1846"/>
      <c r="H207" s="668" t="s">
        <v>1189</v>
      </c>
      <c r="I207" s="585">
        <v>43465</v>
      </c>
      <c r="J207" s="1842"/>
      <c r="K207" s="572"/>
      <c r="L207" s="573"/>
      <c r="M207" s="573"/>
      <c r="N207" s="573"/>
      <c r="O207" s="573"/>
      <c r="P207" s="573"/>
      <c r="Q207" s="573"/>
      <c r="R207" s="573"/>
      <c r="S207" s="573"/>
      <c r="T207" s="573"/>
      <c r="U207" s="573"/>
      <c r="V207" s="574"/>
    </row>
    <row r="208" spans="1:22" s="9" customFormat="1" ht="26.25" thickBot="1" x14ac:dyDescent="0.25">
      <c r="A208" s="1862"/>
      <c r="B208" s="1848" t="s">
        <v>1599</v>
      </c>
      <c r="C208" s="1848" t="s">
        <v>1788</v>
      </c>
      <c r="D208" s="1859">
        <v>1</v>
      </c>
      <c r="E208" s="1848" t="s">
        <v>1201</v>
      </c>
      <c r="F208" s="1848" t="s">
        <v>1202</v>
      </c>
      <c r="G208" s="1846"/>
      <c r="H208" s="664" t="s">
        <v>1203</v>
      </c>
      <c r="I208" s="585">
        <v>43190</v>
      </c>
      <c r="J208" s="1842" t="s">
        <v>243</v>
      </c>
      <c r="K208" s="572"/>
      <c r="L208" s="573"/>
      <c r="M208" s="573"/>
      <c r="N208" s="573"/>
      <c r="O208" s="573"/>
      <c r="P208" s="573"/>
      <c r="Q208" s="573"/>
      <c r="R208" s="573"/>
      <c r="S208" s="573"/>
      <c r="T208" s="573"/>
      <c r="U208" s="573"/>
      <c r="V208" s="574"/>
    </row>
    <row r="209" spans="1:25" s="9" customFormat="1" ht="13.5" thickBot="1" x14ac:dyDescent="0.25">
      <c r="A209" s="1862"/>
      <c r="B209" s="1848"/>
      <c r="C209" s="1848"/>
      <c r="D209" s="1859"/>
      <c r="E209" s="1848"/>
      <c r="F209" s="1848"/>
      <c r="G209" s="1846"/>
      <c r="H209" s="664" t="s">
        <v>1204</v>
      </c>
      <c r="I209" s="585">
        <v>43343</v>
      </c>
      <c r="J209" s="1842"/>
      <c r="K209" s="572"/>
      <c r="L209" s="573"/>
      <c r="M209" s="573"/>
      <c r="N209" s="573"/>
      <c r="O209" s="573"/>
      <c r="P209" s="573"/>
      <c r="Q209" s="573"/>
      <c r="R209" s="573"/>
      <c r="S209" s="573"/>
      <c r="T209" s="573"/>
      <c r="U209" s="573"/>
      <c r="V209" s="574"/>
    </row>
    <row r="210" spans="1:25" s="9" customFormat="1" ht="26.25" thickBot="1" x14ac:dyDescent="0.25">
      <c r="A210" s="1862"/>
      <c r="B210" s="1848"/>
      <c r="C210" s="1848"/>
      <c r="D210" s="1859"/>
      <c r="E210" s="1848"/>
      <c r="F210" s="1848"/>
      <c r="G210" s="1846"/>
      <c r="H210" s="664" t="s">
        <v>1205</v>
      </c>
      <c r="I210" s="585">
        <v>43373</v>
      </c>
      <c r="J210" s="1842"/>
      <c r="K210" s="572"/>
      <c r="L210" s="573"/>
      <c r="M210" s="573"/>
      <c r="N210" s="573"/>
      <c r="O210" s="573"/>
      <c r="P210" s="573"/>
      <c r="Q210" s="573"/>
      <c r="R210" s="573"/>
      <c r="S210" s="573"/>
      <c r="T210" s="573"/>
      <c r="U210" s="573"/>
      <c r="V210" s="574"/>
    </row>
    <row r="211" spans="1:25" s="9" customFormat="1" ht="13.5" thickBot="1" x14ac:dyDescent="0.25">
      <c r="A211" s="1862"/>
      <c r="B211" s="1848"/>
      <c r="C211" s="1848"/>
      <c r="D211" s="1859"/>
      <c r="E211" s="1848"/>
      <c r="F211" s="1848"/>
      <c r="G211" s="1846"/>
      <c r="H211" s="662" t="s">
        <v>1206</v>
      </c>
      <c r="I211" s="654">
        <v>43434</v>
      </c>
      <c r="J211" s="1844"/>
      <c r="K211" s="572"/>
      <c r="L211" s="573"/>
      <c r="M211" s="573"/>
      <c r="N211" s="573"/>
      <c r="O211" s="573"/>
      <c r="P211" s="573"/>
      <c r="Q211" s="573"/>
      <c r="R211" s="573"/>
      <c r="S211" s="573"/>
      <c r="T211" s="573"/>
      <c r="U211" s="573"/>
      <c r="V211" s="574"/>
    </row>
    <row r="212" spans="1:25" s="9" customFormat="1" ht="26.25" thickBot="1" x14ac:dyDescent="0.25">
      <c r="A212" s="1862"/>
      <c r="B212" s="1848" t="s">
        <v>1599</v>
      </c>
      <c r="C212" s="1848" t="s">
        <v>1207</v>
      </c>
      <c r="D212" s="1863">
        <v>2</v>
      </c>
      <c r="E212" s="1848" t="s">
        <v>1208</v>
      </c>
      <c r="F212" s="1848" t="s">
        <v>1209</v>
      </c>
      <c r="G212" s="1846"/>
      <c r="H212" s="668" t="s">
        <v>1211</v>
      </c>
      <c r="I212" s="655">
        <v>43281</v>
      </c>
      <c r="J212" s="1842" t="s">
        <v>1210</v>
      </c>
      <c r="K212" s="572"/>
      <c r="L212" s="573"/>
      <c r="M212" s="573"/>
      <c r="N212" s="573"/>
      <c r="O212" s="573"/>
      <c r="P212" s="573"/>
      <c r="Q212" s="573"/>
      <c r="R212" s="573"/>
      <c r="S212" s="573"/>
      <c r="T212" s="573"/>
      <c r="U212" s="573"/>
      <c r="V212" s="574"/>
    </row>
    <row r="213" spans="1:25" s="9" customFormat="1" ht="26.25" thickBot="1" x14ac:dyDescent="0.25">
      <c r="A213" s="1862"/>
      <c r="B213" s="1848"/>
      <c r="C213" s="1848"/>
      <c r="D213" s="1863"/>
      <c r="E213" s="1848"/>
      <c r="F213" s="1848"/>
      <c r="G213" s="1846"/>
      <c r="H213" s="668" t="s">
        <v>1212</v>
      </c>
      <c r="I213" s="655">
        <v>43434</v>
      </c>
      <c r="J213" s="1842"/>
      <c r="K213" s="572"/>
      <c r="L213" s="573"/>
      <c r="M213" s="573"/>
      <c r="N213" s="573"/>
      <c r="O213" s="573"/>
      <c r="P213" s="573"/>
      <c r="Q213" s="573"/>
      <c r="R213" s="573"/>
      <c r="S213" s="573"/>
      <c r="T213" s="573"/>
      <c r="U213" s="573"/>
      <c r="V213" s="574"/>
    </row>
    <row r="214" spans="1:25" s="9" customFormat="1" ht="26.25" thickBot="1" x14ac:dyDescent="0.25">
      <c r="A214" s="1862"/>
      <c r="B214" s="1848"/>
      <c r="C214" s="1848"/>
      <c r="D214" s="1863"/>
      <c r="E214" s="1848"/>
      <c r="F214" s="1848"/>
      <c r="G214" s="1846"/>
      <c r="H214" s="668" t="s">
        <v>1213</v>
      </c>
      <c r="I214" s="655">
        <v>43434</v>
      </c>
      <c r="J214" s="1842"/>
      <c r="K214" s="572"/>
      <c r="L214" s="573"/>
      <c r="M214" s="573"/>
      <c r="N214" s="573"/>
      <c r="O214" s="573"/>
      <c r="P214" s="573"/>
      <c r="Q214" s="573"/>
      <c r="R214" s="573"/>
      <c r="S214" s="573"/>
      <c r="T214" s="573"/>
      <c r="U214" s="573"/>
      <c r="V214" s="574"/>
    </row>
    <row r="215" spans="1:25" s="9" customFormat="1" ht="26.25" thickBot="1" x14ac:dyDescent="0.25">
      <c r="A215" s="1862"/>
      <c r="B215" s="1848"/>
      <c r="C215" s="1848"/>
      <c r="D215" s="1863"/>
      <c r="E215" s="1848"/>
      <c r="F215" s="1848"/>
      <c r="G215" s="1846"/>
      <c r="H215" s="668" t="s">
        <v>1214</v>
      </c>
      <c r="I215" s="655">
        <v>43449</v>
      </c>
      <c r="J215" s="1843"/>
      <c r="K215" s="572"/>
      <c r="L215" s="573"/>
      <c r="M215" s="573"/>
      <c r="N215" s="573"/>
      <c r="O215" s="573"/>
      <c r="P215" s="573"/>
      <c r="Q215" s="573"/>
      <c r="R215" s="573"/>
      <c r="S215" s="573"/>
      <c r="T215" s="573"/>
      <c r="U215" s="573"/>
      <c r="V215" s="574"/>
    </row>
    <row r="216" spans="1:25" s="9" customFormat="1" ht="13.5" thickBot="1" x14ac:dyDescent="0.25">
      <c r="A216" s="1862"/>
      <c r="B216" s="1848"/>
      <c r="C216" s="1848"/>
      <c r="D216" s="1863"/>
      <c r="E216" s="1848"/>
      <c r="F216" s="1848"/>
      <c r="G216" s="1846"/>
      <c r="H216" s="668" t="s">
        <v>1215</v>
      </c>
      <c r="I216" s="655">
        <v>43465</v>
      </c>
      <c r="J216" s="1843"/>
      <c r="K216" s="572"/>
      <c r="L216" s="573"/>
      <c r="M216" s="573"/>
      <c r="N216" s="573"/>
      <c r="O216" s="573"/>
      <c r="P216" s="573"/>
      <c r="Q216" s="573"/>
      <c r="R216" s="573"/>
      <c r="S216" s="573"/>
      <c r="T216" s="573"/>
      <c r="U216" s="573"/>
      <c r="V216" s="574"/>
    </row>
    <row r="217" spans="1:25" s="9" customFormat="1" ht="13.5" thickBot="1" x14ac:dyDescent="0.25">
      <c r="A217" s="1862"/>
      <c r="B217" s="1848" t="s">
        <v>1599</v>
      </c>
      <c r="C217" s="1858" t="s">
        <v>46</v>
      </c>
      <c r="D217" s="1859">
        <v>0.8</v>
      </c>
      <c r="E217" s="1858" t="s">
        <v>45</v>
      </c>
      <c r="F217" s="1858" t="s">
        <v>45</v>
      </c>
      <c r="G217" s="1846"/>
      <c r="H217" s="629" t="s">
        <v>1660</v>
      </c>
      <c r="I217" s="655"/>
      <c r="J217" s="623"/>
      <c r="K217" s="572"/>
      <c r="L217" s="573"/>
      <c r="M217" s="573"/>
      <c r="N217" s="573"/>
      <c r="O217" s="573"/>
      <c r="P217" s="573"/>
      <c r="Q217" s="573"/>
      <c r="R217" s="573"/>
      <c r="S217" s="573"/>
      <c r="T217" s="573"/>
      <c r="U217" s="573"/>
      <c r="V217" s="574"/>
    </row>
    <row r="218" spans="1:25" s="9" customFormat="1" ht="13.5" thickBot="1" x14ac:dyDescent="0.25">
      <c r="A218" s="1862"/>
      <c r="B218" s="1848"/>
      <c r="C218" s="1858"/>
      <c r="D218" s="1859"/>
      <c r="E218" s="1858"/>
      <c r="F218" s="1858"/>
      <c r="G218" s="1846"/>
      <c r="H218" s="629" t="s">
        <v>1511</v>
      </c>
      <c r="I218" s="655"/>
      <c r="J218" s="623"/>
      <c r="K218" s="572"/>
      <c r="L218" s="573"/>
      <c r="M218" s="573"/>
      <c r="N218" s="573"/>
      <c r="O218" s="573"/>
      <c r="P218" s="573"/>
      <c r="Q218" s="573"/>
      <c r="R218" s="573"/>
      <c r="S218" s="573"/>
      <c r="T218" s="573"/>
      <c r="U218" s="573"/>
      <c r="V218" s="574"/>
    </row>
    <row r="219" spans="1:25" s="9" customFormat="1" ht="13.5" thickBot="1" x14ac:dyDescent="0.25">
      <c r="A219" s="1862"/>
      <c r="B219" s="1848"/>
      <c r="C219" s="1858"/>
      <c r="D219" s="1859"/>
      <c r="E219" s="1858"/>
      <c r="F219" s="1858"/>
      <c r="G219" s="1846"/>
      <c r="H219" s="667" t="s">
        <v>1512</v>
      </c>
      <c r="I219" s="634"/>
      <c r="J219" s="568"/>
      <c r="K219" s="572"/>
      <c r="L219" s="573"/>
      <c r="M219" s="573"/>
      <c r="N219" s="573"/>
      <c r="O219" s="573"/>
      <c r="P219" s="573"/>
      <c r="Q219" s="573"/>
      <c r="R219" s="573"/>
      <c r="S219" s="573"/>
      <c r="T219" s="573"/>
      <c r="U219" s="573"/>
      <c r="V219" s="574"/>
    </row>
    <row r="220" spans="1:25" s="9" customFormat="1" ht="39" thickBot="1" x14ac:dyDescent="0.25">
      <c r="A220" s="1862" t="s">
        <v>1483</v>
      </c>
      <c r="B220" s="689" t="s">
        <v>374</v>
      </c>
      <c r="C220" s="690" t="s">
        <v>76</v>
      </c>
      <c r="D220" s="561" t="s">
        <v>1290</v>
      </c>
      <c r="E220" s="562" t="s">
        <v>1409</v>
      </c>
      <c r="F220" s="562" t="s">
        <v>77</v>
      </c>
      <c r="G220" s="689" t="s">
        <v>1661</v>
      </c>
      <c r="H220" s="689" t="s">
        <v>1509</v>
      </c>
      <c r="I220" s="563"/>
      <c r="J220" s="564"/>
      <c r="K220" s="528"/>
      <c r="L220" s="529"/>
      <c r="M220" s="529"/>
      <c r="N220" s="529"/>
      <c r="O220" s="529"/>
      <c r="P220" s="529"/>
      <c r="Q220" s="529"/>
      <c r="R220" s="529"/>
      <c r="S220" s="529"/>
      <c r="T220" s="529"/>
      <c r="U220" s="529"/>
      <c r="V220" s="530"/>
    </row>
    <row r="221" spans="1:25" s="9" customFormat="1" ht="51.75" thickBot="1" x14ac:dyDescent="0.25">
      <c r="A221" s="1862"/>
      <c r="B221" s="690" t="s">
        <v>374</v>
      </c>
      <c r="C221" s="690" t="s">
        <v>1662</v>
      </c>
      <c r="D221" s="561">
        <v>0.7</v>
      </c>
      <c r="E221" s="690" t="s">
        <v>38</v>
      </c>
      <c r="F221" s="689" t="s">
        <v>37</v>
      </c>
      <c r="G221" s="689" t="s">
        <v>1663</v>
      </c>
      <c r="H221" s="689" t="s">
        <v>1509</v>
      </c>
      <c r="I221" s="563"/>
      <c r="J221" s="564"/>
      <c r="K221" s="565"/>
      <c r="L221" s="566"/>
      <c r="M221" s="566"/>
      <c r="N221" s="566"/>
      <c r="O221" s="566"/>
      <c r="P221" s="566"/>
      <c r="Q221" s="566"/>
      <c r="R221" s="566"/>
      <c r="S221" s="566"/>
      <c r="T221" s="566"/>
      <c r="U221" s="566"/>
      <c r="V221" s="567"/>
      <c r="Y221" s="1853" t="s">
        <v>2097</v>
      </c>
    </row>
    <row r="222" spans="1:25" s="9" customFormat="1" ht="51.75" thickBot="1" x14ac:dyDescent="0.25">
      <c r="A222" s="1862"/>
      <c r="B222" s="690" t="s">
        <v>374</v>
      </c>
      <c r="C222" s="690" t="s">
        <v>1508</v>
      </c>
      <c r="D222" s="561">
        <v>0.6</v>
      </c>
      <c r="E222" s="690" t="s">
        <v>1464</v>
      </c>
      <c r="F222" s="689" t="s">
        <v>1294</v>
      </c>
      <c r="G222" s="689" t="s">
        <v>1663</v>
      </c>
      <c r="H222" s="689" t="s">
        <v>1509</v>
      </c>
      <c r="I222" s="563"/>
      <c r="J222" s="564"/>
      <c r="K222" s="528"/>
      <c r="L222" s="529"/>
      <c r="M222" s="529"/>
      <c r="N222" s="529"/>
      <c r="O222" s="529"/>
      <c r="P222" s="529"/>
      <c r="Q222" s="529"/>
      <c r="R222" s="529"/>
      <c r="S222" s="529"/>
      <c r="T222" s="529"/>
      <c r="U222" s="529"/>
      <c r="V222" s="530"/>
      <c r="Y222" s="1854"/>
    </row>
    <row r="223" spans="1:25" s="9" customFormat="1" ht="12.75" x14ac:dyDescent="0.2">
      <c r="A223" s="586" t="s">
        <v>1791</v>
      </c>
      <c r="B223" s="616"/>
      <c r="C223" s="671"/>
      <c r="D223" s="624"/>
      <c r="E223" s="671"/>
      <c r="F223" s="671"/>
      <c r="G223" s="671"/>
      <c r="H223" s="669"/>
      <c r="I223" s="10"/>
      <c r="K223" s="625"/>
      <c r="L223" s="625"/>
      <c r="M223" s="625"/>
      <c r="N223" s="625"/>
      <c r="O223" s="625"/>
      <c r="P223" s="625"/>
      <c r="Q223" s="625"/>
      <c r="R223" s="625"/>
      <c r="S223" s="625"/>
      <c r="T223" s="625"/>
      <c r="U223" s="625"/>
    </row>
    <row r="224" spans="1:25" x14ac:dyDescent="0.2">
      <c r="A224" s="586"/>
      <c r="B224" s="616"/>
      <c r="C224" s="671"/>
      <c r="D224" s="617"/>
      <c r="E224" s="672"/>
      <c r="F224" s="672"/>
      <c r="G224" s="672"/>
      <c r="H224" s="670"/>
    </row>
  </sheetData>
  <mergeCells count="418">
    <mergeCell ref="K1:V1"/>
    <mergeCell ref="A4:A9"/>
    <mergeCell ref="B4:B9"/>
    <mergeCell ref="C4:C9"/>
    <mergeCell ref="D4:D9"/>
    <mergeCell ref="E4:E9"/>
    <mergeCell ref="F4:F9"/>
    <mergeCell ref="G4:G9"/>
    <mergeCell ref="G10:G13"/>
    <mergeCell ref="C14:C17"/>
    <mergeCell ref="D14:D17"/>
    <mergeCell ref="E14:E17"/>
    <mergeCell ref="F14:F17"/>
    <mergeCell ref="G14:G17"/>
    <mergeCell ref="E10:E13"/>
    <mergeCell ref="F10:F13"/>
    <mergeCell ref="A1:G1"/>
    <mergeCell ref="A27:A37"/>
    <mergeCell ref="B27:B32"/>
    <mergeCell ref="C27:C29"/>
    <mergeCell ref="D27:D29"/>
    <mergeCell ref="E27:E29"/>
    <mergeCell ref="C18:C20"/>
    <mergeCell ref="D18:D20"/>
    <mergeCell ref="A10:A13"/>
    <mergeCell ref="B10:B13"/>
    <mergeCell ref="C10:C13"/>
    <mergeCell ref="D10:D13"/>
    <mergeCell ref="A14:A26"/>
    <mergeCell ref="B14:B26"/>
    <mergeCell ref="E18:E20"/>
    <mergeCell ref="F18:F20"/>
    <mergeCell ref="G18:G20"/>
    <mergeCell ref="C21:C23"/>
    <mergeCell ref="D21:D23"/>
    <mergeCell ref="E21:E23"/>
    <mergeCell ref="F21:F23"/>
    <mergeCell ref="G21:G23"/>
    <mergeCell ref="C24:C26"/>
    <mergeCell ref="D24:D26"/>
    <mergeCell ref="E24:E26"/>
    <mergeCell ref="F24:F26"/>
    <mergeCell ref="G24:G26"/>
    <mergeCell ref="F27:F29"/>
    <mergeCell ref="G27:G29"/>
    <mergeCell ref="C30:C32"/>
    <mergeCell ref="D30:D32"/>
    <mergeCell ref="E30:E32"/>
    <mergeCell ref="F30:F32"/>
    <mergeCell ref="G30:G32"/>
    <mergeCell ref="J30:J32"/>
    <mergeCell ref="B33:B37"/>
    <mergeCell ref="C33:C37"/>
    <mergeCell ref="D33:D37"/>
    <mergeCell ref="E33:E37"/>
    <mergeCell ref="F33:F37"/>
    <mergeCell ref="G33:G37"/>
    <mergeCell ref="J33:J37"/>
    <mergeCell ref="G38:G41"/>
    <mergeCell ref="J38:J41"/>
    <mergeCell ref="A42:A57"/>
    <mergeCell ref="B42:B57"/>
    <mergeCell ref="C42:C43"/>
    <mergeCell ref="D42:D43"/>
    <mergeCell ref="E42:E43"/>
    <mergeCell ref="F42:F43"/>
    <mergeCell ref="G42:G43"/>
    <mergeCell ref="J42:J43"/>
    <mergeCell ref="C45:C47"/>
    <mergeCell ref="D45:D47"/>
    <mergeCell ref="E45:E47"/>
    <mergeCell ref="C48:C50"/>
    <mergeCell ref="D48:D50"/>
    <mergeCell ref="E48:E50"/>
    <mergeCell ref="F48:F50"/>
    <mergeCell ref="A38:A41"/>
    <mergeCell ref="B38:B41"/>
    <mergeCell ref="C38:C41"/>
    <mergeCell ref="D38:D41"/>
    <mergeCell ref="E38:E41"/>
    <mergeCell ref="F38:F41"/>
    <mergeCell ref="F45:F47"/>
    <mergeCell ref="G45:G47"/>
    <mergeCell ref="J45:J47"/>
    <mergeCell ref="C55:C57"/>
    <mergeCell ref="D55:D57"/>
    <mergeCell ref="E55:E57"/>
    <mergeCell ref="F55:F57"/>
    <mergeCell ref="G55:G57"/>
    <mergeCell ref="W51:W52"/>
    <mergeCell ref="C53:C54"/>
    <mergeCell ref="D53:D54"/>
    <mergeCell ref="E53:E54"/>
    <mergeCell ref="F53:F54"/>
    <mergeCell ref="G53:G54"/>
    <mergeCell ref="C51:C52"/>
    <mergeCell ref="G48:G50"/>
    <mergeCell ref="J48:J50"/>
    <mergeCell ref="W48:W50"/>
    <mergeCell ref="D51:D52"/>
    <mergeCell ref="E51:E52"/>
    <mergeCell ref="F51:F52"/>
    <mergeCell ref="G51:G52"/>
    <mergeCell ref="J51:J52"/>
    <mergeCell ref="W45:W47"/>
    <mergeCell ref="F63:F66"/>
    <mergeCell ref="G63:G66"/>
    <mergeCell ref="C58:C60"/>
    <mergeCell ref="D58:D60"/>
    <mergeCell ref="E58:E60"/>
    <mergeCell ref="F58:F60"/>
    <mergeCell ref="G58:G60"/>
    <mergeCell ref="C61:C62"/>
    <mergeCell ref="D61:D62"/>
    <mergeCell ref="E61:E62"/>
    <mergeCell ref="F61:F62"/>
    <mergeCell ref="G61:G62"/>
    <mergeCell ref="A67:A78"/>
    <mergeCell ref="B67:B78"/>
    <mergeCell ref="C67:C69"/>
    <mergeCell ref="D67:D69"/>
    <mergeCell ref="E67:E69"/>
    <mergeCell ref="A58:A66"/>
    <mergeCell ref="B58:B66"/>
    <mergeCell ref="C73:C78"/>
    <mergeCell ref="D73:D78"/>
    <mergeCell ref="E73:E78"/>
    <mergeCell ref="C63:C66"/>
    <mergeCell ref="D63:D66"/>
    <mergeCell ref="E63:E66"/>
    <mergeCell ref="J73:J78"/>
    <mergeCell ref="F67:F69"/>
    <mergeCell ref="G67:G69"/>
    <mergeCell ref="J67:J69"/>
    <mergeCell ref="C70:C72"/>
    <mergeCell ref="D70:D72"/>
    <mergeCell ref="E70:E72"/>
    <mergeCell ref="F70:F72"/>
    <mergeCell ref="G70:G72"/>
    <mergeCell ref="J70:J72"/>
    <mergeCell ref="F73:F78"/>
    <mergeCell ref="G73:G78"/>
    <mergeCell ref="A79:A81"/>
    <mergeCell ref="B79:B81"/>
    <mergeCell ref="C79:C81"/>
    <mergeCell ref="D79:D81"/>
    <mergeCell ref="E79:E81"/>
    <mergeCell ref="F79:F81"/>
    <mergeCell ref="G79:G81"/>
    <mergeCell ref="A82:A88"/>
    <mergeCell ref="B82:B86"/>
    <mergeCell ref="C82:C86"/>
    <mergeCell ref="D82:D86"/>
    <mergeCell ref="E82:E86"/>
    <mergeCell ref="F82:F86"/>
    <mergeCell ref="G82:G86"/>
    <mergeCell ref="B87:B88"/>
    <mergeCell ref="C87:C88"/>
    <mergeCell ref="D87:D88"/>
    <mergeCell ref="E87:E88"/>
    <mergeCell ref="F87:F88"/>
    <mergeCell ref="G87:G88"/>
    <mergeCell ref="J91:J93"/>
    <mergeCell ref="B94:B96"/>
    <mergeCell ref="C94:C96"/>
    <mergeCell ref="D94:D96"/>
    <mergeCell ref="E94:E96"/>
    <mergeCell ref="F94:F96"/>
    <mergeCell ref="E97:E99"/>
    <mergeCell ref="F97:F99"/>
    <mergeCell ref="G97:G99"/>
    <mergeCell ref="G94:G96"/>
    <mergeCell ref="J94:J96"/>
    <mergeCell ref="G89:G90"/>
    <mergeCell ref="B91:B93"/>
    <mergeCell ref="C91:C93"/>
    <mergeCell ref="D91:D93"/>
    <mergeCell ref="E91:E93"/>
    <mergeCell ref="F91:F93"/>
    <mergeCell ref="G91:G93"/>
    <mergeCell ref="J106:J110"/>
    <mergeCell ref="B104:B105"/>
    <mergeCell ref="C104:C105"/>
    <mergeCell ref="D104:D105"/>
    <mergeCell ref="E104:E105"/>
    <mergeCell ref="F104:F105"/>
    <mergeCell ref="G104:G105"/>
    <mergeCell ref="J97:J99"/>
    <mergeCell ref="B100:B102"/>
    <mergeCell ref="C100:C102"/>
    <mergeCell ref="J104:J105"/>
    <mergeCell ref="B106:B110"/>
    <mergeCell ref="C106:C110"/>
    <mergeCell ref="D106:D110"/>
    <mergeCell ref="E106:E110"/>
    <mergeCell ref="F106:F110"/>
    <mergeCell ref="G106:G110"/>
    <mergeCell ref="E100:E102"/>
    <mergeCell ref="F100:F102"/>
    <mergeCell ref="G100:G102"/>
    <mergeCell ref="J100:J102"/>
    <mergeCell ref="B97:B99"/>
    <mergeCell ref="C97:C99"/>
    <mergeCell ref="D97:D99"/>
    <mergeCell ref="J111:J113"/>
    <mergeCell ref="B114:B115"/>
    <mergeCell ref="C114:C115"/>
    <mergeCell ref="D114:D115"/>
    <mergeCell ref="E114:E115"/>
    <mergeCell ref="F114:F115"/>
    <mergeCell ref="G114:G115"/>
    <mergeCell ref="J114:J115"/>
    <mergeCell ref="B111:B113"/>
    <mergeCell ref="C111:C113"/>
    <mergeCell ref="D100:D102"/>
    <mergeCell ref="D111:D113"/>
    <mergeCell ref="E111:E113"/>
    <mergeCell ref="F111:F113"/>
    <mergeCell ref="G111:G113"/>
    <mergeCell ref="G129:G131"/>
    <mergeCell ref="B132:B133"/>
    <mergeCell ref="C132:C133"/>
    <mergeCell ref="D132:D133"/>
    <mergeCell ref="E132:E133"/>
    <mergeCell ref="F132:F133"/>
    <mergeCell ref="G121:G122"/>
    <mergeCell ref="B116:B120"/>
    <mergeCell ref="C116:C120"/>
    <mergeCell ref="D116:D120"/>
    <mergeCell ref="E116:E120"/>
    <mergeCell ref="F116:F120"/>
    <mergeCell ref="G116:G120"/>
    <mergeCell ref="C121:C122"/>
    <mergeCell ref="D121:D122"/>
    <mergeCell ref="E121:E122"/>
    <mergeCell ref="F121:F122"/>
    <mergeCell ref="A89:A141"/>
    <mergeCell ref="B89:B90"/>
    <mergeCell ref="C89:C90"/>
    <mergeCell ref="D89:D90"/>
    <mergeCell ref="E89:E90"/>
    <mergeCell ref="F89:F90"/>
    <mergeCell ref="F129:F131"/>
    <mergeCell ref="B121:B122"/>
    <mergeCell ref="A142:A149"/>
    <mergeCell ref="B142:B145"/>
    <mergeCell ref="C142:C145"/>
    <mergeCell ref="D142:D145"/>
    <mergeCell ref="E142:E145"/>
    <mergeCell ref="F142:F145"/>
    <mergeCell ref="B134:B136"/>
    <mergeCell ref="C134:C136"/>
    <mergeCell ref="D134:D136"/>
    <mergeCell ref="E134:E136"/>
    <mergeCell ref="F134:F136"/>
    <mergeCell ref="B137:B138"/>
    <mergeCell ref="C137:C138"/>
    <mergeCell ref="D137:D138"/>
    <mergeCell ref="E137:E138"/>
    <mergeCell ref="F137:F138"/>
    <mergeCell ref="G142:G145"/>
    <mergeCell ref="J142:J145"/>
    <mergeCell ref="B146:B149"/>
    <mergeCell ref="C146:C149"/>
    <mergeCell ref="D146:D149"/>
    <mergeCell ref="E146:E149"/>
    <mergeCell ref="F146:F149"/>
    <mergeCell ref="G146:G149"/>
    <mergeCell ref="E139:E141"/>
    <mergeCell ref="F139:F141"/>
    <mergeCell ref="G134:G136"/>
    <mergeCell ref="G139:G141"/>
    <mergeCell ref="G137:G138"/>
    <mergeCell ref="B139:B141"/>
    <mergeCell ref="C139:C141"/>
    <mergeCell ref="D139:D141"/>
    <mergeCell ref="G132:G133"/>
    <mergeCell ref="B127:B128"/>
    <mergeCell ref="C127:C128"/>
    <mergeCell ref="B129:B131"/>
    <mergeCell ref="C129:C131"/>
    <mergeCell ref="D129:D131"/>
    <mergeCell ref="E129:E131"/>
    <mergeCell ref="F150:F151"/>
    <mergeCell ref="J146:J149"/>
    <mergeCell ref="B169:B173"/>
    <mergeCell ref="G150:G154"/>
    <mergeCell ref="J150:J151"/>
    <mergeCell ref="C153:C154"/>
    <mergeCell ref="D153:D154"/>
    <mergeCell ref="E153:E154"/>
    <mergeCell ref="F153:F154"/>
    <mergeCell ref="J153:J154"/>
    <mergeCell ref="F166:F168"/>
    <mergeCell ref="F155:F157"/>
    <mergeCell ref="G155:G157"/>
    <mergeCell ref="J155:J157"/>
    <mergeCell ref="F158:F164"/>
    <mergeCell ref="G158:G164"/>
    <mergeCell ref="J158:J164"/>
    <mergeCell ref="G166:G168"/>
    <mergeCell ref="J166:J168"/>
    <mergeCell ref="A150:A154"/>
    <mergeCell ref="B150:B154"/>
    <mergeCell ref="C150:C151"/>
    <mergeCell ref="D150:D151"/>
    <mergeCell ref="E150:E151"/>
    <mergeCell ref="A155:A165"/>
    <mergeCell ref="B155:B157"/>
    <mergeCell ref="C155:C157"/>
    <mergeCell ref="D155:D157"/>
    <mergeCell ref="E155:E157"/>
    <mergeCell ref="B158:B164"/>
    <mergeCell ref="C158:C164"/>
    <mergeCell ref="D158:D164"/>
    <mergeCell ref="E158:E164"/>
    <mergeCell ref="J169:J173"/>
    <mergeCell ref="J177:J179"/>
    <mergeCell ref="D174:D176"/>
    <mergeCell ref="J180:J181"/>
    <mergeCell ref="G174:G176"/>
    <mergeCell ref="A166:A173"/>
    <mergeCell ref="B166:B168"/>
    <mergeCell ref="C166:C168"/>
    <mergeCell ref="D166:D168"/>
    <mergeCell ref="E166:E168"/>
    <mergeCell ref="C180:C181"/>
    <mergeCell ref="D180:D181"/>
    <mergeCell ref="E180:E181"/>
    <mergeCell ref="F180:F181"/>
    <mergeCell ref="G180:G181"/>
    <mergeCell ref="E182:E188"/>
    <mergeCell ref="C169:C173"/>
    <mergeCell ref="D169:D173"/>
    <mergeCell ref="E169:E173"/>
    <mergeCell ref="F169:F173"/>
    <mergeCell ref="G169:G173"/>
    <mergeCell ref="A174:A195"/>
    <mergeCell ref="C199:C201"/>
    <mergeCell ref="D199:D201"/>
    <mergeCell ref="E199:E201"/>
    <mergeCell ref="F199:F201"/>
    <mergeCell ref="D189:D190"/>
    <mergeCell ref="E189:E190"/>
    <mergeCell ref="F189:F190"/>
    <mergeCell ref="G189:G190"/>
    <mergeCell ref="C189:C190"/>
    <mergeCell ref="B191:B195"/>
    <mergeCell ref="C191:C195"/>
    <mergeCell ref="D191:D195"/>
    <mergeCell ref="E191:E195"/>
    <mergeCell ref="F191:F195"/>
    <mergeCell ref="B177:B179"/>
    <mergeCell ref="C177:C179"/>
    <mergeCell ref="D177:D179"/>
    <mergeCell ref="E177:E179"/>
    <mergeCell ref="F177:F179"/>
    <mergeCell ref="G177:G179"/>
    <mergeCell ref="B174:B176"/>
    <mergeCell ref="C174:C176"/>
    <mergeCell ref="B180:B181"/>
    <mergeCell ref="A220:A222"/>
    <mergeCell ref="B212:B216"/>
    <mergeCell ref="C212:C216"/>
    <mergeCell ref="D212:D216"/>
    <mergeCell ref="E212:E216"/>
    <mergeCell ref="F212:F216"/>
    <mergeCell ref="J199:J201"/>
    <mergeCell ref="B202:B204"/>
    <mergeCell ref="C202:C204"/>
    <mergeCell ref="A196:A219"/>
    <mergeCell ref="B196:B198"/>
    <mergeCell ref="C196:C198"/>
    <mergeCell ref="D196:D198"/>
    <mergeCell ref="E196:E198"/>
    <mergeCell ref="B199:B201"/>
    <mergeCell ref="D202:D204"/>
    <mergeCell ref="E202:E204"/>
    <mergeCell ref="F202:F204"/>
    <mergeCell ref="B208:B211"/>
    <mergeCell ref="C208:C211"/>
    <mergeCell ref="D208:D211"/>
    <mergeCell ref="E208:E211"/>
    <mergeCell ref="F208:F211"/>
    <mergeCell ref="B205:B207"/>
    <mergeCell ref="C205:C207"/>
    <mergeCell ref="Y14:Y24"/>
    <mergeCell ref="Y27:Y33"/>
    <mergeCell ref="Y221:Y222"/>
    <mergeCell ref="Y42:Y55"/>
    <mergeCell ref="Y58:Y63"/>
    <mergeCell ref="B217:B219"/>
    <mergeCell ref="C217:C219"/>
    <mergeCell ref="D217:D219"/>
    <mergeCell ref="E217:E219"/>
    <mergeCell ref="F217:F219"/>
    <mergeCell ref="D205:D207"/>
    <mergeCell ref="E205:E207"/>
    <mergeCell ref="F205:F207"/>
    <mergeCell ref="J189:J190"/>
    <mergeCell ref="B182:B188"/>
    <mergeCell ref="C182:C188"/>
    <mergeCell ref="D182:D188"/>
    <mergeCell ref="E174:E176"/>
    <mergeCell ref="F174:F176"/>
    <mergeCell ref="F182:F188"/>
    <mergeCell ref="G182:G188"/>
    <mergeCell ref="J182:J188"/>
    <mergeCell ref="B189:B190"/>
    <mergeCell ref="J212:J216"/>
    <mergeCell ref="J208:J211"/>
    <mergeCell ref="J202:J204"/>
    <mergeCell ref="J205:J207"/>
    <mergeCell ref="J191:J195"/>
    <mergeCell ref="F196:F198"/>
    <mergeCell ref="G196:G219"/>
    <mergeCell ref="J196:J198"/>
    <mergeCell ref="G191:G195"/>
  </mergeCells>
  <pageMargins left="0.70866141732283472" right="0.70866141732283472" top="0.74803149606299213" bottom="0.74803149606299213" header="0.31496062992125984" footer="0.31496062992125984"/>
  <pageSetup scale="48"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8"/>
    <pageSetUpPr fitToPage="1"/>
  </sheetPr>
  <dimension ref="A1:AL47"/>
  <sheetViews>
    <sheetView topLeftCell="C1" zoomScale="85" zoomScaleNormal="85" zoomScaleSheetLayoutView="85" workbookViewId="0">
      <pane xSplit="6" ySplit="3" topLeftCell="I8" activePane="bottomRight" state="frozen"/>
      <selection activeCell="AI4" sqref="AI4:AI5"/>
      <selection pane="topRight" activeCell="AI4" sqref="AI4:AI5"/>
      <selection pane="bottomLeft" activeCell="AI4" sqref="AI4:AI5"/>
      <selection pane="bottomRight" activeCell="AD10" sqref="AD10"/>
    </sheetView>
  </sheetViews>
  <sheetFormatPr baseColWidth="10" defaultColWidth="11.5703125" defaultRowHeight="15" x14ac:dyDescent="0.25"/>
  <cols>
    <col min="1" max="1" width="14.140625" style="904" customWidth="1"/>
    <col min="2" max="2" width="20.85546875" style="905" customWidth="1"/>
    <col min="3" max="3" width="30.140625" style="894" customWidth="1"/>
    <col min="4" max="4" width="7.5703125" style="886" customWidth="1"/>
    <col min="5" max="5" width="19" style="894" customWidth="1"/>
    <col min="6" max="6" width="25.5703125" style="894" customWidth="1"/>
    <col min="7" max="7" width="19" style="894" customWidth="1"/>
    <col min="8" max="8" width="45.85546875" style="895" customWidth="1"/>
    <col min="9" max="9" width="7" style="886" bestFit="1" customWidth="1"/>
    <col min="10" max="10" width="9"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2" width="11.5703125" style="886" hidden="1" customWidth="1"/>
    <col min="23" max="23" width="67" style="886" hidden="1" customWidth="1"/>
    <col min="24" max="24" width="19.28515625" style="886" hidden="1" customWidth="1"/>
    <col min="25" max="25" width="17.85546875" style="886" hidden="1" customWidth="1"/>
    <col min="26" max="26" width="14.5703125" style="886" hidden="1" customWidth="1"/>
    <col min="27" max="27" width="86.7109375" style="886" hidden="1" customWidth="1"/>
    <col min="28" max="28" width="26.28515625" style="886" hidden="1" customWidth="1"/>
    <col min="29" max="29" width="19.28515625" style="886" customWidth="1"/>
    <col min="30" max="30" width="17.85546875" style="886" customWidth="1"/>
    <col min="31" max="31" width="14.5703125" style="886" customWidth="1"/>
    <col min="32" max="32" width="86.7109375" style="886" customWidth="1"/>
    <col min="33" max="33" width="26.28515625" style="886" customWidth="1"/>
    <col min="34" max="36" width="11.5703125" style="886"/>
    <col min="37" max="37" width="42.42578125" style="886" customWidth="1"/>
    <col min="38" max="38" width="29.140625" style="886" customWidth="1"/>
    <col min="39" max="16384" width="11.5703125" style="886"/>
  </cols>
  <sheetData>
    <row r="1" spans="1:38" ht="63.75" customHeight="1" x14ac:dyDescent="0.25">
      <c r="A1" s="2094" t="s">
        <v>2562</v>
      </c>
      <c r="B1" s="2094"/>
      <c r="C1" s="2094"/>
      <c r="D1" s="2094"/>
      <c r="E1" s="2094"/>
      <c r="F1" s="2094"/>
      <c r="G1" s="2094"/>
      <c r="H1" s="2094"/>
      <c r="I1" s="1939" t="s">
        <v>1351</v>
      </c>
      <c r="J1" s="1939"/>
      <c r="K1" s="1939"/>
      <c r="L1" s="1939"/>
      <c r="M1" s="1939"/>
      <c r="N1" s="1939"/>
      <c r="O1" s="1939"/>
      <c r="P1" s="1939"/>
      <c r="Q1" s="1939"/>
      <c r="R1" s="1939"/>
      <c r="S1" s="1939"/>
      <c r="T1" s="1939"/>
      <c r="U1" s="1934" t="s">
        <v>1970</v>
      </c>
      <c r="V1" s="1935"/>
      <c r="W1" s="1936"/>
      <c r="X1" s="2173" t="s">
        <v>2138</v>
      </c>
      <c r="Y1" s="2172"/>
      <c r="Z1" s="2172"/>
      <c r="AA1" s="2172"/>
      <c r="AB1" s="2172"/>
      <c r="AC1" s="2173" t="s">
        <v>2631</v>
      </c>
      <c r="AD1" s="2172"/>
      <c r="AE1" s="2172"/>
      <c r="AF1" s="2172"/>
      <c r="AG1" s="2172"/>
      <c r="AH1" s="2173" t="s">
        <v>2872</v>
      </c>
      <c r="AI1" s="2172"/>
      <c r="AJ1" s="2172"/>
      <c r="AK1" s="2172"/>
      <c r="AL1" s="2172"/>
    </row>
    <row r="2" spans="1:38" ht="9.75" customHeight="1" x14ac:dyDescent="0.25">
      <c r="A2" s="900"/>
      <c r="B2" s="894"/>
      <c r="C2" s="807"/>
      <c r="D2" s="807"/>
      <c r="E2" s="807"/>
      <c r="F2" s="807"/>
      <c r="G2" s="808"/>
      <c r="H2" s="793"/>
    </row>
    <row r="3" spans="1:38" s="906" customFormat="1" ht="50.1" customHeight="1" x14ac:dyDescent="0.25">
      <c r="A3" s="777" t="s">
        <v>1221</v>
      </c>
      <c r="B3" s="777" t="s">
        <v>47</v>
      </c>
      <c r="C3" s="777" t="s">
        <v>1461</v>
      </c>
      <c r="D3" s="777" t="s">
        <v>1</v>
      </c>
      <c r="E3" s="777" t="s">
        <v>51</v>
      </c>
      <c r="F3" s="777" t="s">
        <v>2216</v>
      </c>
      <c r="G3" s="777" t="s">
        <v>3</v>
      </c>
      <c r="H3" s="777" t="s">
        <v>1291</v>
      </c>
      <c r="I3" s="777" t="s">
        <v>1352</v>
      </c>
      <c r="J3" s="777" t="s">
        <v>1353</v>
      </c>
      <c r="K3" s="777" t="s">
        <v>1354</v>
      </c>
      <c r="L3" s="777" t="s">
        <v>1355</v>
      </c>
      <c r="M3" s="777" t="s">
        <v>1356</v>
      </c>
      <c r="N3" s="777" t="s">
        <v>1357</v>
      </c>
      <c r="O3" s="777" t="s">
        <v>1358</v>
      </c>
      <c r="P3" s="777" t="s">
        <v>1359</v>
      </c>
      <c r="Q3" s="777" t="s">
        <v>1360</v>
      </c>
      <c r="R3" s="777" t="s">
        <v>1361</v>
      </c>
      <c r="S3" s="777" t="s">
        <v>1362</v>
      </c>
      <c r="T3" s="777" t="s">
        <v>1363</v>
      </c>
      <c r="U3" s="777" t="s">
        <v>2064</v>
      </c>
      <c r="V3" s="777" t="s">
        <v>1927</v>
      </c>
      <c r="W3" s="777" t="s">
        <v>1981</v>
      </c>
      <c r="X3" s="777" t="s">
        <v>1926</v>
      </c>
      <c r="Y3" s="777" t="s">
        <v>1927</v>
      </c>
      <c r="Z3" s="777" t="s">
        <v>2126</v>
      </c>
      <c r="AA3" s="777" t="s">
        <v>2159</v>
      </c>
      <c r="AB3" s="777" t="s">
        <v>1928</v>
      </c>
      <c r="AC3" s="1633" t="s">
        <v>1926</v>
      </c>
      <c r="AD3" s="1633" t="s">
        <v>1927</v>
      </c>
      <c r="AE3" s="1633" t="s">
        <v>2126</v>
      </c>
      <c r="AF3" s="1633" t="s">
        <v>2159</v>
      </c>
      <c r="AG3" s="1633" t="s">
        <v>1928</v>
      </c>
      <c r="AH3" s="1633" t="s">
        <v>1926</v>
      </c>
      <c r="AI3" s="1633" t="s">
        <v>1927</v>
      </c>
      <c r="AJ3" s="1633" t="s">
        <v>2126</v>
      </c>
      <c r="AK3" s="1633" t="s">
        <v>2159</v>
      </c>
      <c r="AL3" s="1633" t="s">
        <v>1928</v>
      </c>
    </row>
    <row r="4" spans="1:38" ht="123.75" customHeight="1" x14ac:dyDescent="0.25">
      <c r="A4" s="2304"/>
      <c r="B4" s="745" t="s">
        <v>374</v>
      </c>
      <c r="C4" s="745" t="s">
        <v>1805</v>
      </c>
      <c r="D4" s="1385">
        <v>1</v>
      </c>
      <c r="E4" s="745" t="s">
        <v>1673</v>
      </c>
      <c r="F4" s="745" t="s">
        <v>1674</v>
      </c>
      <c r="G4" s="745" t="s">
        <v>1726</v>
      </c>
      <c r="H4" s="785" t="s">
        <v>1675</v>
      </c>
      <c r="I4" s="1039" t="s">
        <v>1397</v>
      </c>
      <c r="J4" s="1040" t="s">
        <v>1397</v>
      </c>
      <c r="K4" s="1040" t="s">
        <v>1397</v>
      </c>
      <c r="L4" s="1040" t="s">
        <v>1397</v>
      </c>
      <c r="M4" s="1040" t="s">
        <v>1397</v>
      </c>
      <c r="N4" s="1040" t="s">
        <v>1397</v>
      </c>
      <c r="O4" s="1040" t="s">
        <v>1397</v>
      </c>
      <c r="P4" s="1155"/>
      <c r="Q4" s="1155"/>
      <c r="R4" s="1155"/>
      <c r="S4" s="1155"/>
      <c r="T4" s="1157"/>
      <c r="U4" s="1197">
        <v>0.93700000000000006</v>
      </c>
      <c r="V4" s="2314">
        <f>SUM(U4:U7)/4</f>
        <v>0.95500000000000007</v>
      </c>
      <c r="W4" s="889" t="s">
        <v>2372</v>
      </c>
      <c r="X4" s="1487">
        <v>1</v>
      </c>
      <c r="Y4" s="1487">
        <v>1</v>
      </c>
      <c r="Z4" s="892" t="s">
        <v>2688</v>
      </c>
      <c r="AA4" s="759" t="s">
        <v>2668</v>
      </c>
      <c r="AB4" s="892"/>
      <c r="AC4" s="1487">
        <v>1</v>
      </c>
      <c r="AD4" s="1487">
        <v>1</v>
      </c>
      <c r="AE4" s="759" t="s">
        <v>2688</v>
      </c>
      <c r="AF4" s="759" t="s">
        <v>2668</v>
      </c>
      <c r="AG4" s="892"/>
      <c r="AH4" s="1487">
        <v>1</v>
      </c>
      <c r="AI4" s="1487">
        <v>1</v>
      </c>
      <c r="AJ4" s="759" t="s">
        <v>2688</v>
      </c>
      <c r="AK4" s="759" t="s">
        <v>2908</v>
      </c>
      <c r="AL4" s="892"/>
    </row>
    <row r="5" spans="1:38" ht="164.25" customHeight="1" x14ac:dyDescent="0.25">
      <c r="A5" s="2304"/>
      <c r="B5" s="745" t="s">
        <v>1676</v>
      </c>
      <c r="C5" s="745" t="s">
        <v>2065</v>
      </c>
      <c r="D5" s="1385">
        <v>1</v>
      </c>
      <c r="E5" s="745" t="s">
        <v>1677</v>
      </c>
      <c r="F5" s="745" t="s">
        <v>1678</v>
      </c>
      <c r="G5" s="745" t="s">
        <v>1726</v>
      </c>
      <c r="H5" s="785" t="s">
        <v>1806</v>
      </c>
      <c r="I5" s="1042" t="s">
        <v>1397</v>
      </c>
      <c r="J5" s="1043" t="s">
        <v>1397</v>
      </c>
      <c r="K5" s="1043" t="s">
        <v>1397</v>
      </c>
      <c r="L5" s="1043" t="s">
        <v>1397</v>
      </c>
      <c r="M5" s="1043" t="s">
        <v>1397</v>
      </c>
      <c r="N5" s="1043" t="s">
        <v>1397</v>
      </c>
      <c r="O5" s="1043" t="s">
        <v>1397</v>
      </c>
      <c r="P5" s="1043" t="s">
        <v>1397</v>
      </c>
      <c r="Q5" s="1043" t="s">
        <v>1397</v>
      </c>
      <c r="R5" s="1043" t="s">
        <v>1397</v>
      </c>
      <c r="S5" s="1043" t="s">
        <v>1397</v>
      </c>
      <c r="T5" s="1130" t="s">
        <v>1397</v>
      </c>
      <c r="U5" s="1197">
        <v>1</v>
      </c>
      <c r="V5" s="1954"/>
      <c r="W5" s="889" t="s">
        <v>2373</v>
      </c>
      <c r="X5" s="1544" t="s">
        <v>353</v>
      </c>
      <c r="Y5" s="1544" t="s">
        <v>353</v>
      </c>
      <c r="Z5" s="892"/>
      <c r="AA5" s="759" t="s">
        <v>2690</v>
      </c>
      <c r="AB5" s="892"/>
      <c r="AC5" s="1544" t="s">
        <v>353</v>
      </c>
      <c r="AD5" s="1544" t="s">
        <v>353</v>
      </c>
      <c r="AE5" s="798"/>
      <c r="AF5" s="759" t="s">
        <v>2691</v>
      </c>
      <c r="AG5" s="892"/>
      <c r="AH5" s="1544" t="s">
        <v>353</v>
      </c>
      <c r="AI5" s="1544" t="s">
        <v>353</v>
      </c>
      <c r="AJ5" s="798"/>
      <c r="AK5" s="759" t="s">
        <v>2911</v>
      </c>
      <c r="AL5" s="1770" t="s">
        <v>2912</v>
      </c>
    </row>
    <row r="6" spans="1:38" ht="135" x14ac:dyDescent="0.25">
      <c r="A6" s="2304"/>
      <c r="B6" s="745" t="s">
        <v>1676</v>
      </c>
      <c r="C6" s="745" t="s">
        <v>1679</v>
      </c>
      <c r="D6" s="1385">
        <v>0.9</v>
      </c>
      <c r="E6" s="745" t="s">
        <v>1680</v>
      </c>
      <c r="F6" s="745" t="s">
        <v>1681</v>
      </c>
      <c r="G6" s="745" t="s">
        <v>1726</v>
      </c>
      <c r="H6" s="785" t="s">
        <v>1682</v>
      </c>
      <c r="I6" s="1042" t="s">
        <v>1397</v>
      </c>
      <c r="J6" s="1043" t="s">
        <v>1397</v>
      </c>
      <c r="K6" s="1043" t="s">
        <v>1397</v>
      </c>
      <c r="L6" s="1043" t="s">
        <v>1397</v>
      </c>
      <c r="M6" s="1043" t="s">
        <v>1397</v>
      </c>
      <c r="N6" s="1043" t="s">
        <v>1397</v>
      </c>
      <c r="O6" s="1043" t="s">
        <v>1397</v>
      </c>
      <c r="P6" s="1043" t="s">
        <v>1397</v>
      </c>
      <c r="Q6" s="1043" t="s">
        <v>1397</v>
      </c>
      <c r="R6" s="1043" t="s">
        <v>1397</v>
      </c>
      <c r="S6" s="1043" t="s">
        <v>1397</v>
      </c>
      <c r="T6" s="1130" t="s">
        <v>1397</v>
      </c>
      <c r="U6" s="1197">
        <v>1</v>
      </c>
      <c r="V6" s="1954"/>
      <c r="W6" s="889" t="s">
        <v>2374</v>
      </c>
      <c r="X6" s="1544" t="s">
        <v>353</v>
      </c>
      <c r="Y6" s="1544" t="s">
        <v>353</v>
      </c>
      <c r="Z6" s="892"/>
      <c r="AA6" s="759" t="s">
        <v>2669</v>
      </c>
      <c r="AB6" s="722" t="s">
        <v>2522</v>
      </c>
      <c r="AC6" s="1544" t="s">
        <v>353</v>
      </c>
      <c r="AD6" s="1544" t="s">
        <v>353</v>
      </c>
      <c r="AE6" s="892"/>
      <c r="AF6" s="759" t="s">
        <v>2669</v>
      </c>
      <c r="AG6" s="722" t="s">
        <v>2522</v>
      </c>
      <c r="AH6" s="1544" t="s">
        <v>353</v>
      </c>
      <c r="AI6" s="1544" t="s">
        <v>353</v>
      </c>
      <c r="AJ6" s="892"/>
      <c r="AK6" s="759" t="s">
        <v>2909</v>
      </c>
      <c r="AL6" s="722" t="s">
        <v>2522</v>
      </c>
    </row>
    <row r="7" spans="1:38" ht="234.75" customHeight="1" x14ac:dyDescent="0.25">
      <c r="A7" s="2304"/>
      <c r="B7" s="745" t="s">
        <v>1676</v>
      </c>
      <c r="C7" s="745" t="s">
        <v>1683</v>
      </c>
      <c r="D7" s="1385">
        <v>0.6</v>
      </c>
      <c r="E7" s="745" t="s">
        <v>1684</v>
      </c>
      <c r="F7" s="745" t="s">
        <v>1807</v>
      </c>
      <c r="G7" s="745" t="s">
        <v>1726</v>
      </c>
      <c r="H7" s="785" t="s">
        <v>1685</v>
      </c>
      <c r="I7" s="1057" t="s">
        <v>1397</v>
      </c>
      <c r="J7" s="1058" t="s">
        <v>1397</v>
      </c>
      <c r="K7" s="1058" t="s">
        <v>1397</v>
      </c>
      <c r="L7" s="1058" t="s">
        <v>1397</v>
      </c>
      <c r="M7" s="1058" t="s">
        <v>1397</v>
      </c>
      <c r="N7" s="1058" t="s">
        <v>1397</v>
      </c>
      <c r="O7" s="1058" t="s">
        <v>1397</v>
      </c>
      <c r="P7" s="1058" t="s">
        <v>1397</v>
      </c>
      <c r="Q7" s="1058" t="s">
        <v>1397</v>
      </c>
      <c r="R7" s="1058" t="s">
        <v>1397</v>
      </c>
      <c r="S7" s="1058" t="s">
        <v>1397</v>
      </c>
      <c r="T7" s="1196" t="s">
        <v>1397</v>
      </c>
      <c r="U7" s="1197">
        <v>0.88300000000000001</v>
      </c>
      <c r="V7" s="1954"/>
      <c r="W7" s="889" t="s">
        <v>2375</v>
      </c>
      <c r="X7" s="1487">
        <v>0.63</v>
      </c>
      <c r="Y7" s="1487">
        <v>0.63</v>
      </c>
      <c r="Z7" s="892" t="s">
        <v>2689</v>
      </c>
      <c r="AA7" s="1654" t="s">
        <v>2670</v>
      </c>
      <c r="AB7" s="892"/>
      <c r="AC7" s="1487">
        <v>0.63</v>
      </c>
      <c r="AD7" s="1487">
        <v>0.63</v>
      </c>
      <c r="AE7" s="789" t="s">
        <v>2689</v>
      </c>
      <c r="AF7" s="789" t="s">
        <v>2670</v>
      </c>
      <c r="AG7" s="892"/>
      <c r="AH7" s="1487">
        <v>0.9</v>
      </c>
      <c r="AI7" s="1487">
        <v>0.9</v>
      </c>
      <c r="AJ7" s="789" t="s">
        <v>2689</v>
      </c>
      <c r="AK7" s="789" t="s">
        <v>2910</v>
      </c>
      <c r="AL7" s="892"/>
    </row>
    <row r="8" spans="1:38" s="899" customFormat="1" ht="12.75" customHeight="1" x14ac:dyDescent="0.25">
      <c r="A8" s="902" t="s">
        <v>2280</v>
      </c>
      <c r="B8" s="903"/>
      <c r="C8" s="891"/>
      <c r="D8" s="892"/>
      <c r="E8" s="891"/>
      <c r="F8" s="891"/>
      <c r="G8" s="891"/>
      <c r="H8" s="893"/>
      <c r="I8" s="902"/>
      <c r="J8" s="902"/>
      <c r="K8" s="902"/>
      <c r="L8" s="902"/>
      <c r="M8" s="902"/>
      <c r="N8" s="902"/>
      <c r="O8" s="902"/>
      <c r="P8" s="902"/>
      <c r="Q8" s="902"/>
      <c r="R8" s="902"/>
      <c r="S8" s="902"/>
      <c r="T8" s="902"/>
      <c r="U8" s="902"/>
      <c r="V8" s="902"/>
      <c r="W8" s="902"/>
      <c r="X8" s="902"/>
      <c r="Y8" s="902"/>
      <c r="Z8" s="902"/>
      <c r="AA8" s="902"/>
      <c r="AB8" s="902"/>
      <c r="AC8" s="902"/>
      <c r="AD8" s="902"/>
      <c r="AE8" s="902"/>
      <c r="AF8" s="902"/>
      <c r="AG8" s="902"/>
      <c r="AH8" s="902"/>
      <c r="AI8" s="902"/>
      <c r="AJ8" s="902"/>
      <c r="AK8" s="902"/>
      <c r="AL8" s="902"/>
    </row>
    <row r="9" spans="1:38" s="894" customFormat="1" x14ac:dyDescent="0.25"/>
    <row r="10" spans="1:38" s="894" customFormat="1" x14ac:dyDescent="0.25">
      <c r="W10" s="1098" t="s">
        <v>2066</v>
      </c>
      <c r="X10" s="1202" t="s">
        <v>2399</v>
      </c>
      <c r="Y10" s="1380" t="s">
        <v>2396</v>
      </c>
      <c r="AC10" s="1202" t="s">
        <v>2399</v>
      </c>
      <c r="AD10" s="1380" t="s">
        <v>3031</v>
      </c>
      <c r="AH10" s="1202" t="s">
        <v>2399</v>
      </c>
      <c r="AI10" s="1380" t="s">
        <v>2528</v>
      </c>
    </row>
    <row r="11" spans="1:38" s="894" customFormat="1" x14ac:dyDescent="0.25">
      <c r="W11" s="1098" t="s">
        <v>2067</v>
      </c>
      <c r="X11" s="1202" t="s">
        <v>2686</v>
      </c>
      <c r="Y11" s="1204" t="s">
        <v>2376</v>
      </c>
      <c r="Z11" s="1594">
        <v>0.20499999999999999</v>
      </c>
      <c r="AC11" s="1202" t="s">
        <v>2686</v>
      </c>
      <c r="AD11" s="1204" t="s">
        <v>2376</v>
      </c>
      <c r="AE11" s="1594">
        <f>(82%*25%)</f>
        <v>0.20499999999999999</v>
      </c>
      <c r="AH11" s="1202" t="s">
        <v>2913</v>
      </c>
      <c r="AI11" s="1204" t="s">
        <v>2376</v>
      </c>
      <c r="AJ11" s="1594">
        <f>(95%*25%)</f>
        <v>0.23749999999999999</v>
      </c>
    </row>
    <row r="12" spans="1:38" s="894" customFormat="1" x14ac:dyDescent="0.25">
      <c r="W12" s="1098" t="s">
        <v>2068</v>
      </c>
    </row>
    <row r="13" spans="1:38" s="894" customFormat="1" x14ac:dyDescent="0.25">
      <c r="W13" s="1098">
        <v>0.23899999999999999</v>
      </c>
    </row>
    <row r="14" spans="1:38" s="894" customFormat="1" x14ac:dyDescent="0.25"/>
    <row r="15" spans="1:38" s="894" customFormat="1" x14ac:dyDescent="0.25"/>
    <row r="16" spans="1:38" s="894" customFormat="1" x14ac:dyDescent="0.25"/>
    <row r="17" s="894" customFormat="1" x14ac:dyDescent="0.25"/>
    <row r="18" s="894" customFormat="1" x14ac:dyDescent="0.25"/>
    <row r="19" s="894" customFormat="1" x14ac:dyDescent="0.25"/>
    <row r="20" s="894" customFormat="1" x14ac:dyDescent="0.25"/>
    <row r="21" s="894" customFormat="1" x14ac:dyDescent="0.25"/>
    <row r="22" s="894" customFormat="1" x14ac:dyDescent="0.25"/>
    <row r="23" s="894" customFormat="1" x14ac:dyDescent="0.25"/>
    <row r="24" s="894" customFormat="1" x14ac:dyDescent="0.25"/>
    <row r="25" s="894" customFormat="1" x14ac:dyDescent="0.25"/>
    <row r="26" s="894" customFormat="1" x14ac:dyDescent="0.25"/>
    <row r="27" s="894" customFormat="1" x14ac:dyDescent="0.25"/>
    <row r="28" s="894" customFormat="1" x14ac:dyDescent="0.25"/>
    <row r="29" s="894" customFormat="1" x14ac:dyDescent="0.25"/>
    <row r="30" s="894" customFormat="1" x14ac:dyDescent="0.25"/>
    <row r="31" s="894" customFormat="1" x14ac:dyDescent="0.25"/>
    <row r="32" s="894" customFormat="1" x14ac:dyDescent="0.25"/>
    <row r="33" s="894" customFormat="1" x14ac:dyDescent="0.25"/>
    <row r="34" s="894" customFormat="1" x14ac:dyDescent="0.25"/>
    <row r="35" s="894" customFormat="1" x14ac:dyDescent="0.25"/>
    <row r="36" s="894" customFormat="1" x14ac:dyDescent="0.25"/>
    <row r="37" s="894" customFormat="1" x14ac:dyDescent="0.25"/>
    <row r="38" s="894" customFormat="1" x14ac:dyDescent="0.25"/>
    <row r="39" s="894" customFormat="1" x14ac:dyDescent="0.25"/>
    <row r="40" s="894" customFormat="1" x14ac:dyDescent="0.25"/>
    <row r="41" s="894" customFormat="1" x14ac:dyDescent="0.25"/>
    <row r="42" s="894" customFormat="1" x14ac:dyDescent="0.25"/>
    <row r="43" s="894" customFormat="1" x14ac:dyDescent="0.25"/>
    <row r="44" s="894" customFormat="1" x14ac:dyDescent="0.25"/>
    <row r="45" s="894" customFormat="1" x14ac:dyDescent="0.25"/>
    <row r="46" s="894" customFormat="1" x14ac:dyDescent="0.25"/>
    <row r="47" s="894" customFormat="1" x14ac:dyDescent="0.25"/>
  </sheetData>
  <mergeCells count="8">
    <mergeCell ref="AH1:AL1"/>
    <mergeCell ref="AC1:AG1"/>
    <mergeCell ref="X1:AB1"/>
    <mergeCell ref="A4:A7"/>
    <mergeCell ref="I1:T1"/>
    <mergeCell ref="A1:H1"/>
    <mergeCell ref="V4:V7"/>
    <mergeCell ref="U1:W1"/>
  </mergeCells>
  <pageMargins left="0.70866141732283472" right="0.70866141732283472" top="0.74803149606299213" bottom="0.74803149606299213" header="0.31496062992125984" footer="0.31496062992125984"/>
  <pageSetup scale="2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8"/>
  </sheetPr>
  <dimension ref="B1:AL28"/>
  <sheetViews>
    <sheetView zoomScale="85" zoomScaleNormal="85" workbookViewId="0">
      <pane xSplit="3" ySplit="4" topLeftCell="AC13" activePane="bottomRight" state="frozen"/>
      <selection activeCell="AI4" sqref="AI4:AI5"/>
      <selection pane="topRight" activeCell="AI4" sqref="AI4:AI5"/>
      <selection pane="bottomLeft" activeCell="AI4" sqref="AI4:AI5"/>
      <selection pane="bottomRight" activeCell="AI21" sqref="AI21"/>
    </sheetView>
  </sheetViews>
  <sheetFormatPr baseColWidth="10" defaultRowHeight="15" x14ac:dyDescent="0.25"/>
  <cols>
    <col min="1" max="1" width="2.28515625" style="750" customWidth="1"/>
    <col min="2" max="2" width="18.140625" style="750" customWidth="1"/>
    <col min="3" max="3" width="29.85546875" style="750" customWidth="1"/>
    <col min="4" max="4" width="14" style="750" bestFit="1" customWidth="1"/>
    <col min="5" max="5" width="14.85546875" style="750" customWidth="1"/>
    <col min="6" max="6" width="18.140625" style="750" customWidth="1"/>
    <col min="7" max="7" width="16.85546875" style="750" customWidth="1"/>
    <col min="8" max="8" width="46.140625" style="803" customWidth="1"/>
    <col min="9" max="9" width="50.42578125" style="803" customWidth="1"/>
    <col min="10" max="10" width="6.28515625" style="750" customWidth="1"/>
    <col min="11" max="11" width="7.7109375" style="750" customWidth="1"/>
    <col min="12" max="12" width="6.42578125" style="750" customWidth="1"/>
    <col min="13" max="13" width="5" style="750" customWidth="1"/>
    <col min="14" max="14" width="5.85546875" style="750" customWidth="1"/>
    <col min="15" max="15" width="5.5703125" style="750" customWidth="1"/>
    <col min="16" max="16" width="5" style="750" customWidth="1"/>
    <col min="17" max="17" width="6.85546875" style="750" customWidth="1"/>
    <col min="18" max="18" width="10.5703125" style="750" customWidth="1"/>
    <col min="19" max="19" width="7.85546875" style="750" customWidth="1"/>
    <col min="20" max="20" width="10.7109375" style="750" customWidth="1"/>
    <col min="21" max="21" width="10" style="750" customWidth="1"/>
    <col min="22" max="22" width="18.7109375" style="750" customWidth="1"/>
    <col min="23" max="23" width="16" style="750" customWidth="1"/>
    <col min="24" max="24" width="27.42578125" style="750" customWidth="1"/>
    <col min="25" max="25" width="17.42578125" style="869" customWidth="1"/>
    <col min="26" max="26" width="18.140625" style="869" customWidth="1"/>
    <col min="27" max="27" width="26.140625" style="750" customWidth="1"/>
    <col min="28" max="28" width="59.42578125" style="750" customWidth="1"/>
    <col min="29" max="29" width="17.42578125" style="869" customWidth="1"/>
    <col min="30" max="30" width="18.140625" style="869" customWidth="1"/>
    <col min="31" max="31" width="26.140625" style="750" customWidth="1"/>
    <col min="32" max="32" width="59.42578125" style="750" customWidth="1"/>
    <col min="33" max="33" width="40.7109375" style="750" customWidth="1"/>
    <col min="34" max="36" width="11.42578125" style="750"/>
    <col min="37" max="37" width="53.28515625" style="750" customWidth="1"/>
    <col min="38" max="16384" width="11.42578125" style="750"/>
  </cols>
  <sheetData>
    <row r="1" spans="2:38" ht="4.9000000000000004" customHeight="1" x14ac:dyDescent="0.25"/>
    <row r="2" spans="2:38" ht="39.75" customHeight="1" x14ac:dyDescent="0.25">
      <c r="B2" s="2318"/>
      <c r="C2" s="2319"/>
      <c r="D2" s="2320"/>
      <c r="E2" s="2321" t="s">
        <v>1868</v>
      </c>
      <c r="F2" s="2321"/>
      <c r="G2" s="2321"/>
      <c r="H2" s="2321"/>
      <c r="I2" s="2321"/>
      <c r="J2" s="2321"/>
      <c r="K2" s="2321"/>
      <c r="L2" s="2321"/>
      <c r="M2" s="2321"/>
      <c r="N2" s="2321"/>
      <c r="O2" s="2321"/>
      <c r="P2" s="2321"/>
      <c r="Q2" s="2321"/>
      <c r="R2" s="2321"/>
      <c r="S2" s="2321"/>
      <c r="T2" s="2321"/>
      <c r="U2" s="2321"/>
      <c r="V2" s="2150" t="s">
        <v>2141</v>
      </c>
      <c r="W2" s="2150"/>
      <c r="X2" s="2150"/>
      <c r="Y2" s="2173" t="s">
        <v>2138</v>
      </c>
      <c r="Z2" s="2172"/>
      <c r="AA2" s="2172"/>
      <c r="AB2" s="2172"/>
      <c r="AC2" s="2173" t="s">
        <v>2631</v>
      </c>
      <c r="AD2" s="2172"/>
      <c r="AE2" s="2172"/>
      <c r="AF2" s="2172"/>
      <c r="AG2" s="2172"/>
      <c r="AH2" s="2173" t="s">
        <v>2872</v>
      </c>
      <c r="AI2" s="2172"/>
      <c r="AJ2" s="2172"/>
      <c r="AK2" s="2172"/>
      <c r="AL2" s="2172"/>
    </row>
    <row r="3" spans="2:38" x14ac:dyDescent="0.25">
      <c r="B3" s="851"/>
      <c r="C3" s="807"/>
      <c r="D3" s="807"/>
      <c r="E3" s="807"/>
      <c r="F3" s="807"/>
      <c r="G3" s="807"/>
      <c r="H3" s="1532"/>
      <c r="I3" s="1532"/>
      <c r="J3" s="1533"/>
      <c r="K3" s="1533"/>
      <c r="L3" s="1533"/>
      <c r="M3" s="1533"/>
      <c r="N3" s="1533"/>
      <c r="O3" s="1533"/>
      <c r="P3" s="1533"/>
      <c r="Q3" s="1533"/>
      <c r="R3" s="1533"/>
      <c r="S3" s="1533"/>
      <c r="T3" s="1533"/>
      <c r="U3" s="1533"/>
      <c r="V3" s="851"/>
      <c r="W3" s="851"/>
      <c r="AH3" s="869"/>
      <c r="AI3" s="869"/>
    </row>
    <row r="4" spans="2:38" s="850" customFormat="1" ht="33.75" customHeight="1" x14ac:dyDescent="0.25">
      <c r="B4" s="1534" t="s">
        <v>1869</v>
      </c>
      <c r="C4" s="1534" t="s">
        <v>0</v>
      </c>
      <c r="D4" s="1534" t="s">
        <v>1870</v>
      </c>
      <c r="E4" s="1534" t="s">
        <v>1871</v>
      </c>
      <c r="F4" s="1534" t="s">
        <v>2216</v>
      </c>
      <c r="G4" s="1534" t="s">
        <v>3</v>
      </c>
      <c r="H4" s="1534" t="s">
        <v>1872</v>
      </c>
      <c r="I4" s="1535" t="s">
        <v>1873</v>
      </c>
      <c r="J4" s="1536" t="s">
        <v>1874</v>
      </c>
      <c r="K4" s="1536" t="s">
        <v>1875</v>
      </c>
      <c r="L4" s="1536" t="s">
        <v>1876</v>
      </c>
      <c r="M4" s="1536" t="s">
        <v>1877</v>
      </c>
      <c r="N4" s="1536" t="s">
        <v>1878</v>
      </c>
      <c r="O4" s="1536" t="s">
        <v>1879</v>
      </c>
      <c r="P4" s="1536" t="s">
        <v>1880</v>
      </c>
      <c r="Q4" s="1536" t="s">
        <v>1881</v>
      </c>
      <c r="R4" s="1536" t="s">
        <v>1882</v>
      </c>
      <c r="S4" s="1536" t="s">
        <v>1883</v>
      </c>
      <c r="T4" s="1536" t="s">
        <v>1884</v>
      </c>
      <c r="U4" s="1536" t="s">
        <v>1885</v>
      </c>
      <c r="V4" s="777" t="s">
        <v>1886</v>
      </c>
      <c r="W4" s="777" t="s">
        <v>1887</v>
      </c>
      <c r="X4" s="777" t="s">
        <v>2504</v>
      </c>
      <c r="Y4" s="777" t="s">
        <v>1926</v>
      </c>
      <c r="Z4" s="777" t="s">
        <v>1927</v>
      </c>
      <c r="AA4" s="777" t="s">
        <v>2126</v>
      </c>
      <c r="AB4" s="777" t="s">
        <v>2159</v>
      </c>
      <c r="AC4" s="1633" t="s">
        <v>1926</v>
      </c>
      <c r="AD4" s="1633" t="s">
        <v>1927</v>
      </c>
      <c r="AE4" s="1633" t="s">
        <v>2126</v>
      </c>
      <c r="AF4" s="1633" t="s">
        <v>2159</v>
      </c>
      <c r="AG4" s="1633" t="s">
        <v>1928</v>
      </c>
      <c r="AH4" s="1767" t="s">
        <v>1926</v>
      </c>
      <c r="AI4" s="1767" t="s">
        <v>1927</v>
      </c>
      <c r="AJ4" s="1767" t="s">
        <v>2126</v>
      </c>
      <c r="AK4" s="1767" t="s">
        <v>2159</v>
      </c>
      <c r="AL4" s="1767" t="s">
        <v>1928</v>
      </c>
    </row>
    <row r="5" spans="2:38" s="851" customFormat="1" ht="45" x14ac:dyDescent="0.25">
      <c r="B5" s="2315" t="s">
        <v>1889</v>
      </c>
      <c r="C5" s="2315" t="s">
        <v>1890</v>
      </c>
      <c r="D5" s="2315" t="s">
        <v>1689</v>
      </c>
      <c r="E5" s="2315" t="s">
        <v>1891</v>
      </c>
      <c r="F5" s="2315" t="s">
        <v>1812</v>
      </c>
      <c r="G5" s="2315" t="s">
        <v>1892</v>
      </c>
      <c r="H5" s="1537" t="s">
        <v>1893</v>
      </c>
      <c r="I5" s="1220" t="s">
        <v>2477</v>
      </c>
      <c r="J5" s="1528"/>
      <c r="K5" s="1528"/>
      <c r="L5" s="1528"/>
      <c r="M5" s="1528"/>
      <c r="N5" s="1521"/>
      <c r="O5" s="1522"/>
      <c r="P5" s="1523"/>
      <c r="Q5" s="1524"/>
      <c r="R5" s="1523"/>
      <c r="S5" s="1525"/>
      <c r="T5" s="1526"/>
      <c r="U5" s="1525"/>
      <c r="V5" s="1538">
        <v>0.6</v>
      </c>
      <c r="W5" s="2326">
        <v>0.67</v>
      </c>
      <c r="X5" s="2323" t="s">
        <v>1888</v>
      </c>
      <c r="Y5" s="1540">
        <v>1</v>
      </c>
      <c r="Z5" s="2322">
        <v>0.87</v>
      </c>
      <c r="AA5" s="1960" t="s">
        <v>2492</v>
      </c>
      <c r="AB5" s="759" t="s">
        <v>2489</v>
      </c>
      <c r="AC5" s="1540">
        <v>1</v>
      </c>
      <c r="AD5" s="2326">
        <v>1</v>
      </c>
      <c r="AE5" s="1960" t="s">
        <v>2758</v>
      </c>
      <c r="AF5" s="759" t="s">
        <v>2759</v>
      </c>
      <c r="AG5" s="2124" t="s">
        <v>2774</v>
      </c>
      <c r="AH5" s="1540">
        <v>1</v>
      </c>
      <c r="AI5" s="2326">
        <v>1</v>
      </c>
      <c r="AJ5" s="1960" t="s">
        <v>2758</v>
      </c>
      <c r="AK5" s="1770" t="s">
        <v>2914</v>
      </c>
      <c r="AL5" s="2124" t="s">
        <v>2774</v>
      </c>
    </row>
    <row r="6" spans="2:38" s="851" customFormat="1" ht="126.75" customHeight="1" x14ac:dyDescent="0.25">
      <c r="B6" s="2315"/>
      <c r="C6" s="2315"/>
      <c r="D6" s="2315"/>
      <c r="E6" s="2315"/>
      <c r="F6" s="2315"/>
      <c r="G6" s="2315"/>
      <c r="H6" s="1537" t="s">
        <v>1894</v>
      </c>
      <c r="I6" s="1220" t="s">
        <v>2478</v>
      </c>
      <c r="J6" s="1528"/>
      <c r="K6" s="1528"/>
      <c r="L6" s="1521"/>
      <c r="M6" s="1522"/>
      <c r="N6" s="1521"/>
      <c r="O6" s="1522"/>
      <c r="P6" s="1523"/>
      <c r="Q6" s="1524"/>
      <c r="R6" s="1523"/>
      <c r="S6" s="1525"/>
      <c r="T6" s="1526"/>
      <c r="U6" s="1525"/>
      <c r="V6" s="1538">
        <v>1</v>
      </c>
      <c r="W6" s="2327"/>
      <c r="X6" s="2324"/>
      <c r="Y6" s="1540">
        <v>0.8</v>
      </c>
      <c r="Z6" s="2322"/>
      <c r="AA6" s="1961"/>
      <c r="AB6" s="759" t="s">
        <v>2490</v>
      </c>
      <c r="AC6" s="1540">
        <v>1</v>
      </c>
      <c r="AD6" s="2327"/>
      <c r="AE6" s="1961"/>
      <c r="AF6" s="759" t="s">
        <v>2760</v>
      </c>
      <c r="AG6" s="2258"/>
      <c r="AH6" s="1540">
        <v>1</v>
      </c>
      <c r="AI6" s="2327"/>
      <c r="AJ6" s="1961"/>
      <c r="AK6" s="1770" t="s">
        <v>2914</v>
      </c>
      <c r="AL6" s="2258"/>
    </row>
    <row r="7" spans="2:38" s="851" customFormat="1" ht="75.75" customHeight="1" x14ac:dyDescent="0.25">
      <c r="B7" s="2315"/>
      <c r="C7" s="2315"/>
      <c r="D7" s="2315"/>
      <c r="E7" s="2315"/>
      <c r="F7" s="2315"/>
      <c r="G7" s="2315"/>
      <c r="H7" s="1537" t="s">
        <v>1895</v>
      </c>
      <c r="I7" s="1530" t="s">
        <v>2479</v>
      </c>
      <c r="J7" s="1528"/>
      <c r="K7" s="1528"/>
      <c r="L7" s="1521"/>
      <c r="M7" s="1528"/>
      <c r="N7" s="1528"/>
      <c r="O7" s="1522"/>
      <c r="P7" s="1523"/>
      <c r="Q7" s="1524"/>
      <c r="R7" s="1523"/>
      <c r="S7" s="1525"/>
      <c r="T7" s="1526"/>
      <c r="U7" s="1525"/>
      <c r="V7" s="883">
        <v>0.4</v>
      </c>
      <c r="W7" s="2328"/>
      <c r="X7" s="2324"/>
      <c r="Y7" s="1540">
        <v>0.8</v>
      </c>
      <c r="Z7" s="2322"/>
      <c r="AA7" s="1961"/>
      <c r="AB7" s="759" t="s">
        <v>2491</v>
      </c>
      <c r="AC7" s="1540">
        <v>1</v>
      </c>
      <c r="AD7" s="2328"/>
      <c r="AE7" s="1961"/>
      <c r="AF7" s="759" t="s">
        <v>2761</v>
      </c>
      <c r="AG7" s="2259"/>
      <c r="AH7" s="1540">
        <v>1</v>
      </c>
      <c r="AI7" s="2328"/>
      <c r="AJ7" s="1961"/>
      <c r="AK7" s="1770" t="s">
        <v>2914</v>
      </c>
      <c r="AL7" s="2259"/>
    </row>
    <row r="8" spans="2:38" s="851" customFormat="1" ht="60" x14ac:dyDescent="0.25">
      <c r="B8" s="2315" t="s">
        <v>1896</v>
      </c>
      <c r="C8" s="2315" t="s">
        <v>1897</v>
      </c>
      <c r="D8" s="2315" t="s">
        <v>1898</v>
      </c>
      <c r="E8" s="2315" t="s">
        <v>1899</v>
      </c>
      <c r="F8" s="2317" t="s">
        <v>1900</v>
      </c>
      <c r="G8" s="2315" t="s">
        <v>1892</v>
      </c>
      <c r="H8" s="1537" t="s">
        <v>1692</v>
      </c>
      <c r="I8" s="1220" t="s">
        <v>2480</v>
      </c>
      <c r="J8" s="1523"/>
      <c r="K8" s="1527"/>
      <c r="L8" s="1527"/>
      <c r="M8" s="1524"/>
      <c r="N8" s="1523"/>
      <c r="O8" s="1524"/>
      <c r="P8" s="1523"/>
      <c r="Q8" s="1524"/>
      <c r="R8" s="1523"/>
      <c r="S8" s="1524"/>
      <c r="T8" s="1523"/>
      <c r="U8" s="1524"/>
      <c r="V8" s="1272">
        <v>1</v>
      </c>
      <c r="W8" s="2156">
        <v>0.8</v>
      </c>
      <c r="X8" s="2324"/>
      <c r="Y8" s="740">
        <v>1</v>
      </c>
      <c r="Z8" s="2177">
        <v>0.9</v>
      </c>
      <c r="AA8" s="1961"/>
      <c r="AB8" s="759" t="s">
        <v>2493</v>
      </c>
      <c r="AC8" s="740">
        <v>0.8</v>
      </c>
      <c r="AD8" s="2329">
        <v>0.8</v>
      </c>
      <c r="AE8" s="1961"/>
      <c r="AF8" s="759" t="s">
        <v>2762</v>
      </c>
      <c r="AG8" s="759"/>
      <c r="AH8" s="740">
        <v>0.95</v>
      </c>
      <c r="AI8" s="2329">
        <f>AVERAGE(AH8:AH9)</f>
        <v>0.95</v>
      </c>
      <c r="AJ8" s="1961"/>
      <c r="AK8" s="1770" t="s">
        <v>2915</v>
      </c>
      <c r="AL8" s="1770"/>
    </row>
    <row r="9" spans="2:38" s="851" customFormat="1" ht="76.5" customHeight="1" x14ac:dyDescent="0.25">
      <c r="B9" s="2315"/>
      <c r="C9" s="2315"/>
      <c r="D9" s="2315"/>
      <c r="E9" s="2315"/>
      <c r="F9" s="2317"/>
      <c r="G9" s="2315"/>
      <c r="H9" s="1537" t="s">
        <v>1693</v>
      </c>
      <c r="I9" s="1220" t="s">
        <v>2481</v>
      </c>
      <c r="J9" s="1523"/>
      <c r="K9" s="1522"/>
      <c r="L9" s="1527"/>
      <c r="M9" s="1522"/>
      <c r="N9" s="1527"/>
      <c r="O9" s="1522"/>
      <c r="P9" s="1521"/>
      <c r="Q9" s="1522"/>
      <c r="R9" s="1521"/>
      <c r="S9" s="1522"/>
      <c r="T9" s="1521"/>
      <c r="U9" s="1522"/>
      <c r="V9" s="1460">
        <v>0.6</v>
      </c>
      <c r="W9" s="2158"/>
      <c r="X9" s="2324"/>
      <c r="Y9" s="740">
        <v>0.8</v>
      </c>
      <c r="Z9" s="2178"/>
      <c r="AA9" s="1961"/>
      <c r="AB9" s="759" t="s">
        <v>2494</v>
      </c>
      <c r="AC9" s="740">
        <v>0.8</v>
      </c>
      <c r="AD9" s="2330"/>
      <c r="AE9" s="1961"/>
      <c r="AF9" s="759" t="s">
        <v>2763</v>
      </c>
      <c r="AG9" s="759"/>
      <c r="AH9" s="740">
        <v>0.95</v>
      </c>
      <c r="AI9" s="2330"/>
      <c r="AJ9" s="1961"/>
      <c r="AK9" s="1770" t="s">
        <v>2916</v>
      </c>
      <c r="AL9" s="1770"/>
    </row>
    <row r="10" spans="2:38" s="851" customFormat="1" ht="84.75" customHeight="1" x14ac:dyDescent="0.25">
      <c r="B10" s="2315" t="s">
        <v>1901</v>
      </c>
      <c r="C10" s="2315" t="s">
        <v>1694</v>
      </c>
      <c r="D10" s="2315" t="s">
        <v>1902</v>
      </c>
      <c r="E10" s="2315" t="s">
        <v>1903</v>
      </c>
      <c r="F10" s="2315" t="s">
        <v>1695</v>
      </c>
      <c r="G10" s="2315" t="s">
        <v>1892</v>
      </c>
      <c r="H10" s="1537" t="s">
        <v>1696</v>
      </c>
      <c r="I10" s="1220" t="s">
        <v>2482</v>
      </c>
      <c r="J10" s="1523"/>
      <c r="K10" s="1524"/>
      <c r="L10" s="1528"/>
      <c r="M10" s="1524"/>
      <c r="N10" s="1523"/>
      <c r="O10" s="1528"/>
      <c r="P10" s="1523"/>
      <c r="Q10" s="1524"/>
      <c r="R10" s="1523"/>
      <c r="S10" s="1524"/>
      <c r="T10" s="1523"/>
      <c r="U10" s="1524"/>
      <c r="V10" s="1272">
        <v>0.4</v>
      </c>
      <c r="W10" s="2156">
        <v>0.23</v>
      </c>
      <c r="X10" s="2324"/>
      <c r="Y10" s="740">
        <v>1</v>
      </c>
      <c r="Z10" s="2177">
        <v>1</v>
      </c>
      <c r="AA10" s="1961"/>
      <c r="AB10" s="759" t="s">
        <v>2495</v>
      </c>
      <c r="AC10" s="740">
        <v>0.8</v>
      </c>
      <c r="AD10" s="2329">
        <v>0.8</v>
      </c>
      <c r="AE10" s="1961"/>
      <c r="AF10" s="759" t="s">
        <v>2764</v>
      </c>
      <c r="AG10" s="759"/>
      <c r="AH10" s="740">
        <v>0.95</v>
      </c>
      <c r="AI10" s="2329">
        <f>AVERAGE(AH10:AH13)</f>
        <v>0.97499999999999998</v>
      </c>
      <c r="AJ10" s="1961"/>
      <c r="AK10" s="1770" t="s">
        <v>2917</v>
      </c>
      <c r="AL10" s="1770"/>
    </row>
    <row r="11" spans="2:38" s="851" customFormat="1" ht="131.25" customHeight="1" x14ac:dyDescent="0.25">
      <c r="B11" s="2315"/>
      <c r="C11" s="2315"/>
      <c r="D11" s="2315"/>
      <c r="E11" s="2315"/>
      <c r="F11" s="2315"/>
      <c r="G11" s="2315"/>
      <c r="H11" s="1537" t="s">
        <v>1904</v>
      </c>
      <c r="I11" s="1220" t="s">
        <v>2483</v>
      </c>
      <c r="J11" s="1528"/>
      <c r="K11" s="1528"/>
      <c r="L11" s="1528"/>
      <c r="M11" s="1528"/>
      <c r="N11" s="1528"/>
      <c r="O11" s="1528"/>
      <c r="P11" s="1528"/>
      <c r="Q11" s="1528"/>
      <c r="R11" s="1528"/>
      <c r="S11" s="1528"/>
      <c r="T11" s="1528"/>
      <c r="U11" s="1528"/>
      <c r="V11" s="1272">
        <v>0.1</v>
      </c>
      <c r="W11" s="2157"/>
      <c r="X11" s="2324"/>
      <c r="Y11" s="740">
        <v>1</v>
      </c>
      <c r="Z11" s="2178"/>
      <c r="AA11" s="1961"/>
      <c r="AB11" s="759" t="s">
        <v>2496</v>
      </c>
      <c r="AC11" s="740">
        <v>0.6</v>
      </c>
      <c r="AD11" s="2331"/>
      <c r="AE11" s="1961"/>
      <c r="AF11" s="759" t="s">
        <v>2765</v>
      </c>
      <c r="AG11" s="759"/>
      <c r="AH11" s="740">
        <v>0.95</v>
      </c>
      <c r="AI11" s="2331"/>
      <c r="AJ11" s="1961"/>
      <c r="AK11" s="1770" t="s">
        <v>2918</v>
      </c>
      <c r="AL11" s="1770"/>
    </row>
    <row r="12" spans="2:38" s="851" customFormat="1" ht="90" x14ac:dyDescent="0.25">
      <c r="B12" s="2315"/>
      <c r="C12" s="2315"/>
      <c r="D12" s="2315"/>
      <c r="E12" s="2315"/>
      <c r="F12" s="2315"/>
      <c r="G12" s="2315"/>
      <c r="H12" s="1537" t="s">
        <v>1716</v>
      </c>
      <c r="I12" s="1220" t="s">
        <v>1905</v>
      </c>
      <c r="J12" s="1523"/>
      <c r="K12" s="1524"/>
      <c r="L12" s="1523"/>
      <c r="M12" s="1527"/>
      <c r="N12" s="1528"/>
      <c r="O12" s="1528"/>
      <c r="P12" s="1528"/>
      <c r="Q12" s="1528"/>
      <c r="R12" s="1523"/>
      <c r="S12" s="1524"/>
      <c r="T12" s="1523"/>
      <c r="U12" s="1524"/>
      <c r="V12" s="799" t="s">
        <v>1906</v>
      </c>
      <c r="W12" s="2157"/>
      <c r="X12" s="2324"/>
      <c r="Y12" s="740">
        <v>1</v>
      </c>
      <c r="Z12" s="2178"/>
      <c r="AA12" s="1961"/>
      <c r="AB12" s="759" t="s">
        <v>2497</v>
      </c>
      <c r="AC12" s="740">
        <v>1</v>
      </c>
      <c r="AD12" s="2331"/>
      <c r="AE12" s="1961"/>
      <c r="AF12" s="759" t="s">
        <v>2766</v>
      </c>
      <c r="AG12" s="759"/>
      <c r="AH12" s="740">
        <v>1</v>
      </c>
      <c r="AI12" s="2331"/>
      <c r="AJ12" s="1961"/>
      <c r="AK12" s="884" t="s">
        <v>2919</v>
      </c>
      <c r="AL12" s="1770"/>
    </row>
    <row r="13" spans="2:38" s="851" customFormat="1" ht="75" x14ac:dyDescent="0.25">
      <c r="B13" s="2315"/>
      <c r="C13" s="2315"/>
      <c r="D13" s="2315"/>
      <c r="E13" s="2315"/>
      <c r="F13" s="2315"/>
      <c r="G13" s="2315"/>
      <c r="H13" s="1537" t="s">
        <v>1907</v>
      </c>
      <c r="I13" s="1531" t="s">
        <v>2484</v>
      </c>
      <c r="J13" s="1527"/>
      <c r="K13" s="1527"/>
      <c r="L13" s="1527"/>
      <c r="M13" s="1527"/>
      <c r="N13" s="1527"/>
      <c r="O13" s="1527"/>
      <c r="P13" s="1527"/>
      <c r="Q13" s="1527"/>
      <c r="R13" s="1527"/>
      <c r="S13" s="1527"/>
      <c r="T13" s="1527"/>
      <c r="U13" s="1527"/>
      <c r="V13" s="1272">
        <v>0.2</v>
      </c>
      <c r="W13" s="2158"/>
      <c r="X13" s="2324"/>
      <c r="Y13" s="740">
        <v>1</v>
      </c>
      <c r="Z13" s="2178"/>
      <c r="AA13" s="1961"/>
      <c r="AB13" s="759" t="s">
        <v>2498</v>
      </c>
      <c r="AC13" s="740">
        <v>0.8</v>
      </c>
      <c r="AD13" s="2330"/>
      <c r="AE13" s="1961"/>
      <c r="AF13" s="759" t="s">
        <v>2767</v>
      </c>
      <c r="AG13" s="759"/>
      <c r="AH13" s="740">
        <v>1</v>
      </c>
      <c r="AI13" s="2330"/>
      <c r="AJ13" s="1961"/>
      <c r="AK13" s="1770" t="s">
        <v>2920</v>
      </c>
      <c r="AL13" s="1770"/>
    </row>
    <row r="14" spans="2:38" s="851" customFormat="1" ht="94.5" customHeight="1" x14ac:dyDescent="0.25">
      <c r="B14" s="2315" t="s">
        <v>1908</v>
      </c>
      <c r="C14" s="2315" t="s">
        <v>1909</v>
      </c>
      <c r="D14" s="2315" t="s">
        <v>1910</v>
      </c>
      <c r="E14" s="2315" t="s">
        <v>1891</v>
      </c>
      <c r="F14" s="2315" t="s">
        <v>1911</v>
      </c>
      <c r="G14" s="2315" t="s">
        <v>1892</v>
      </c>
      <c r="H14" s="1537" t="s">
        <v>1912</v>
      </c>
      <c r="I14" s="1220" t="s">
        <v>2485</v>
      </c>
      <c r="J14" s="1523"/>
      <c r="K14" s="1527"/>
      <c r="L14" s="1527"/>
      <c r="M14" s="1527"/>
      <c r="N14" s="1527"/>
      <c r="O14" s="1524"/>
      <c r="P14" s="1523"/>
      <c r="Q14" s="1524"/>
      <c r="R14" s="1523"/>
      <c r="S14" s="1524"/>
      <c r="T14" s="1523"/>
      <c r="U14" s="1524"/>
      <c r="V14" s="1272">
        <v>0.5</v>
      </c>
      <c r="W14" s="2099">
        <v>0.55000000000000004</v>
      </c>
      <c r="X14" s="2324"/>
      <c r="Y14" s="740">
        <v>0.8</v>
      </c>
      <c r="Z14" s="1940">
        <v>0.9</v>
      </c>
      <c r="AA14" s="1961"/>
      <c r="AB14" s="759" t="s">
        <v>2499</v>
      </c>
      <c r="AC14" s="740">
        <v>1</v>
      </c>
      <c r="AD14" s="1944">
        <v>1</v>
      </c>
      <c r="AE14" s="1961"/>
      <c r="AF14" s="759" t="s">
        <v>2768</v>
      </c>
      <c r="AG14" s="759"/>
      <c r="AH14" s="740">
        <v>1</v>
      </c>
      <c r="AI14" s="1944">
        <f>AVERAGE(AH14:AH15)</f>
        <v>1</v>
      </c>
      <c r="AJ14" s="1961"/>
      <c r="AK14" s="1770" t="s">
        <v>2914</v>
      </c>
      <c r="AL14" s="1770"/>
    </row>
    <row r="15" spans="2:38" s="851" customFormat="1" ht="90" x14ac:dyDescent="0.25">
      <c r="B15" s="2315"/>
      <c r="C15" s="2315"/>
      <c r="D15" s="2315"/>
      <c r="E15" s="2315"/>
      <c r="F15" s="2315"/>
      <c r="G15" s="2315"/>
      <c r="H15" s="1537" t="s">
        <v>1913</v>
      </c>
      <c r="I15" s="1220" t="s">
        <v>2486</v>
      </c>
      <c r="J15" s="1523"/>
      <c r="K15" s="1527"/>
      <c r="L15" s="1527"/>
      <c r="M15" s="1527"/>
      <c r="N15" s="1527"/>
      <c r="O15" s="1527"/>
      <c r="P15" s="1527"/>
      <c r="Q15" s="1524"/>
      <c r="R15" s="1523"/>
      <c r="S15" s="1524"/>
      <c r="T15" s="1523"/>
      <c r="U15" s="1524"/>
      <c r="V15" s="1272">
        <v>0.6</v>
      </c>
      <c r="W15" s="2160"/>
      <c r="X15" s="2324"/>
      <c r="Y15" s="740">
        <v>1</v>
      </c>
      <c r="Z15" s="1941"/>
      <c r="AA15" s="1961"/>
      <c r="AB15" s="759" t="s">
        <v>2500</v>
      </c>
      <c r="AC15" s="740">
        <v>1</v>
      </c>
      <c r="AD15" s="2332"/>
      <c r="AE15" s="1961"/>
      <c r="AF15" s="759" t="s">
        <v>2769</v>
      </c>
      <c r="AG15" s="759"/>
      <c r="AH15" s="740">
        <v>1</v>
      </c>
      <c r="AI15" s="2332"/>
      <c r="AJ15" s="1961"/>
      <c r="AK15" s="1770" t="s">
        <v>2914</v>
      </c>
      <c r="AL15" s="1770"/>
    </row>
    <row r="16" spans="2:38" s="851" customFormat="1" ht="99.75" customHeight="1" x14ac:dyDescent="0.25">
      <c r="B16" s="2315" t="s">
        <v>1914</v>
      </c>
      <c r="C16" s="2315" t="s">
        <v>1915</v>
      </c>
      <c r="D16" s="2315" t="s">
        <v>1916</v>
      </c>
      <c r="E16" s="2315" t="s">
        <v>1899</v>
      </c>
      <c r="F16" s="2316" t="s">
        <v>1900</v>
      </c>
      <c r="G16" s="2315" t="s">
        <v>1892</v>
      </c>
      <c r="H16" s="1537" t="s">
        <v>1697</v>
      </c>
      <c r="I16" s="1530" t="s">
        <v>1917</v>
      </c>
      <c r="J16" s="1527"/>
      <c r="K16" s="1527"/>
      <c r="L16" s="1527"/>
      <c r="M16" s="1527"/>
      <c r="N16" s="1528"/>
      <c r="O16" s="1527"/>
      <c r="P16" s="1528"/>
      <c r="Q16" s="1527"/>
      <c r="R16" s="1528"/>
      <c r="S16" s="1527"/>
      <c r="T16" s="1528"/>
      <c r="U16" s="1527"/>
      <c r="V16" s="1272">
        <v>0.2</v>
      </c>
      <c r="W16" s="2156">
        <v>0.6</v>
      </c>
      <c r="X16" s="2324"/>
      <c r="Y16" s="740">
        <v>0.6</v>
      </c>
      <c r="Z16" s="2177">
        <v>0.87</v>
      </c>
      <c r="AA16" s="1961"/>
      <c r="AB16" s="759" t="s">
        <v>2501</v>
      </c>
      <c r="AC16" s="740">
        <v>0.7</v>
      </c>
      <c r="AD16" s="2329">
        <v>0.7</v>
      </c>
      <c r="AE16" s="1961"/>
      <c r="AF16" s="759" t="s">
        <v>2770</v>
      </c>
      <c r="AG16" s="759"/>
      <c r="AH16" s="740">
        <v>1</v>
      </c>
      <c r="AI16" s="2329">
        <f>AVERAGE(AH16:AH18)</f>
        <v>1</v>
      </c>
      <c r="AJ16" s="1961"/>
      <c r="AK16" s="1770" t="s">
        <v>2921</v>
      </c>
      <c r="AL16" s="1770"/>
    </row>
    <row r="17" spans="2:38" s="851" customFormat="1" ht="53.25" customHeight="1" x14ac:dyDescent="0.25">
      <c r="B17" s="2315"/>
      <c r="C17" s="2315"/>
      <c r="D17" s="2315"/>
      <c r="E17" s="2315"/>
      <c r="F17" s="2315"/>
      <c r="G17" s="2315"/>
      <c r="H17" s="1537" t="s">
        <v>1698</v>
      </c>
      <c r="I17" s="1530" t="s">
        <v>1918</v>
      </c>
      <c r="J17" s="1521"/>
      <c r="K17" s="1522"/>
      <c r="L17" s="1529"/>
      <c r="M17" s="1527"/>
      <c r="N17" s="1528"/>
      <c r="O17" s="1527"/>
      <c r="P17" s="1528"/>
      <c r="Q17" s="1527"/>
      <c r="R17" s="1528"/>
      <c r="S17" s="1527"/>
      <c r="T17" s="1528"/>
      <c r="U17" s="1527"/>
      <c r="V17" s="799" t="s">
        <v>1906</v>
      </c>
      <c r="W17" s="2157"/>
      <c r="X17" s="2324"/>
      <c r="Y17" s="740">
        <v>1</v>
      </c>
      <c r="Z17" s="2178"/>
      <c r="AA17" s="1961"/>
      <c r="AB17" s="759" t="s">
        <v>2502</v>
      </c>
      <c r="AC17" s="1687" t="s">
        <v>353</v>
      </c>
      <c r="AD17" s="2331"/>
      <c r="AE17" s="1961"/>
      <c r="AF17" s="759" t="s">
        <v>2771</v>
      </c>
      <c r="AG17" s="759"/>
      <c r="AH17" s="1687" t="s">
        <v>353</v>
      </c>
      <c r="AI17" s="2331"/>
      <c r="AJ17" s="1961"/>
      <c r="AK17" s="1770" t="s">
        <v>353</v>
      </c>
      <c r="AL17" s="1770"/>
    </row>
    <row r="18" spans="2:38" s="851" customFormat="1" ht="71.25" customHeight="1" x14ac:dyDescent="0.25">
      <c r="B18" s="2315"/>
      <c r="C18" s="2315"/>
      <c r="D18" s="2315"/>
      <c r="E18" s="2315"/>
      <c r="F18" s="2315"/>
      <c r="G18" s="2315"/>
      <c r="H18" s="1537" t="s">
        <v>1919</v>
      </c>
      <c r="I18" s="1531" t="s">
        <v>2487</v>
      </c>
      <c r="J18" s="1527"/>
      <c r="K18" s="1527"/>
      <c r="L18" s="1527"/>
      <c r="M18" s="1527"/>
      <c r="N18" s="1528"/>
      <c r="O18" s="1527"/>
      <c r="P18" s="1528"/>
      <c r="Q18" s="1527"/>
      <c r="R18" s="1528"/>
      <c r="S18" s="1527"/>
      <c r="T18" s="1528"/>
      <c r="U18" s="1527"/>
      <c r="V18" s="1272">
        <v>1</v>
      </c>
      <c r="W18" s="2158"/>
      <c r="X18" s="2325"/>
      <c r="Y18" s="740">
        <v>1</v>
      </c>
      <c r="Z18" s="2178"/>
      <c r="AA18" s="1962"/>
      <c r="AB18" s="759" t="s">
        <v>2503</v>
      </c>
      <c r="AC18" s="1687" t="s">
        <v>353</v>
      </c>
      <c r="AD18" s="2330"/>
      <c r="AE18" s="1962"/>
      <c r="AF18" s="759" t="s">
        <v>2772</v>
      </c>
      <c r="AG18" s="759"/>
      <c r="AH18" s="1687" t="s">
        <v>353</v>
      </c>
      <c r="AI18" s="2330"/>
      <c r="AJ18" s="1962"/>
      <c r="AK18" s="1770" t="s">
        <v>353</v>
      </c>
      <c r="AL18" s="1770"/>
    </row>
    <row r="19" spans="2:38" x14ac:dyDescent="0.25">
      <c r="AH19" s="869"/>
      <c r="AI19" s="869"/>
    </row>
    <row r="20" spans="2:38" x14ac:dyDescent="0.25">
      <c r="C20" s="849"/>
      <c r="D20" s="849"/>
      <c r="E20" s="849"/>
      <c r="F20" s="849"/>
      <c r="G20" s="849"/>
      <c r="J20" s="849"/>
      <c r="K20" s="849"/>
      <c r="L20" s="849"/>
      <c r="M20" s="849"/>
      <c r="N20" s="849"/>
      <c r="O20" s="849"/>
      <c r="P20" s="849"/>
      <c r="Q20" s="849"/>
      <c r="R20" s="849"/>
      <c r="S20" s="849"/>
      <c r="T20" s="849"/>
      <c r="U20" s="849"/>
      <c r="V20" s="750" t="s">
        <v>1920</v>
      </c>
      <c r="W20" s="1516">
        <v>0.6</v>
      </c>
      <c r="Y20" s="1541" t="s">
        <v>2488</v>
      </c>
      <c r="Z20" s="1542" t="s">
        <v>2396</v>
      </c>
      <c r="AC20" s="1541" t="s">
        <v>2488</v>
      </c>
      <c r="AD20" s="1542" t="s">
        <v>2396</v>
      </c>
      <c r="AH20" s="1541" t="s">
        <v>2488</v>
      </c>
      <c r="AI20" s="1542" t="s">
        <v>2922</v>
      </c>
    </row>
    <row r="21" spans="2:38" x14ac:dyDescent="0.25">
      <c r="V21" s="750" t="s">
        <v>1921</v>
      </c>
      <c r="W21" s="847">
        <v>0</v>
      </c>
      <c r="Y21" s="1541" t="s">
        <v>2505</v>
      </c>
      <c r="Z21" s="1543" t="s">
        <v>2016</v>
      </c>
      <c r="AA21" s="1539">
        <f>(91%*25%)</f>
        <v>0.22750000000000001</v>
      </c>
      <c r="AC21" s="1541" t="s">
        <v>2773</v>
      </c>
      <c r="AD21" s="1543" t="s">
        <v>2016</v>
      </c>
      <c r="AE21" s="1539">
        <v>0.215</v>
      </c>
      <c r="AH21" s="1541" t="s">
        <v>2420</v>
      </c>
      <c r="AI21" s="1543" t="s">
        <v>2016</v>
      </c>
      <c r="AJ21" s="1539">
        <f>98%*25%</f>
        <v>0.245</v>
      </c>
    </row>
    <row r="22" spans="2:38" x14ac:dyDescent="0.25">
      <c r="W22" s="721">
        <f>(60%*25%)</f>
        <v>0.15</v>
      </c>
      <c r="AH22" s="869"/>
      <c r="AI22" s="869"/>
    </row>
    <row r="24" spans="2:38" x14ac:dyDescent="0.25">
      <c r="V24" s="1517"/>
      <c r="W24" s="1518"/>
    </row>
    <row r="25" spans="2:38" x14ac:dyDescent="0.25">
      <c r="V25" s="1518"/>
      <c r="W25" s="1518"/>
    </row>
    <row r="26" spans="2:38" x14ac:dyDescent="0.25">
      <c r="V26" s="1518"/>
      <c r="W26" s="1518"/>
    </row>
    <row r="27" spans="2:38" x14ac:dyDescent="0.25">
      <c r="V27" s="1518"/>
      <c r="W27" s="1519"/>
    </row>
    <row r="28" spans="2:38" x14ac:dyDescent="0.25">
      <c r="V28" s="1517"/>
      <c r="W28" s="1520"/>
    </row>
  </sheetData>
  <mergeCells count="62">
    <mergeCell ref="AH2:AL2"/>
    <mergeCell ref="AI5:AI7"/>
    <mergeCell ref="AJ5:AJ18"/>
    <mergeCell ref="AL5:AL7"/>
    <mergeCell ref="AI8:AI9"/>
    <mergeCell ref="AI10:AI13"/>
    <mergeCell ref="AI14:AI15"/>
    <mergeCell ref="AI16:AI18"/>
    <mergeCell ref="AG5:AG7"/>
    <mergeCell ref="AC2:AG2"/>
    <mergeCell ref="V2:X2"/>
    <mergeCell ref="Y2:AB2"/>
    <mergeCell ref="Z5:Z7"/>
    <mergeCell ref="X5:X18"/>
    <mergeCell ref="W5:W7"/>
    <mergeCell ref="W8:W9"/>
    <mergeCell ref="Z8:Z9"/>
    <mergeCell ref="AA5:AA18"/>
    <mergeCell ref="AD5:AD7"/>
    <mergeCell ref="AE5:AE18"/>
    <mergeCell ref="AD8:AD9"/>
    <mergeCell ref="AD10:AD13"/>
    <mergeCell ref="AD14:AD15"/>
    <mergeCell ref="AD16:AD18"/>
    <mergeCell ref="Z10:Z13"/>
    <mergeCell ref="Z14:Z15"/>
    <mergeCell ref="Z16:Z18"/>
    <mergeCell ref="B2:D2"/>
    <mergeCell ref="E2:U2"/>
    <mergeCell ref="B5:B7"/>
    <mergeCell ref="C5:C7"/>
    <mergeCell ref="D5:D7"/>
    <mergeCell ref="E5:E7"/>
    <mergeCell ref="F5:F7"/>
    <mergeCell ref="W16:W18"/>
    <mergeCell ref="G5:G7"/>
    <mergeCell ref="G10:G13"/>
    <mergeCell ref="W10:W13"/>
    <mergeCell ref="B8:B9"/>
    <mergeCell ref="C8:C9"/>
    <mergeCell ref="D8:D9"/>
    <mergeCell ref="E8:E9"/>
    <mergeCell ref="F8:F9"/>
    <mergeCell ref="G8:G9"/>
    <mergeCell ref="B10:B13"/>
    <mergeCell ref="C10:C13"/>
    <mergeCell ref="D10:D13"/>
    <mergeCell ref="E10:E13"/>
    <mergeCell ref="F10:F13"/>
    <mergeCell ref="G16:G18"/>
    <mergeCell ref="W14:W15"/>
    <mergeCell ref="B14:B15"/>
    <mergeCell ref="C14:C15"/>
    <mergeCell ref="D14:D15"/>
    <mergeCell ref="E14:E15"/>
    <mergeCell ref="F14:F15"/>
    <mergeCell ref="G14:G15"/>
    <mergeCell ref="B16:B18"/>
    <mergeCell ref="C16:C18"/>
    <mergeCell ref="D16:D18"/>
    <mergeCell ref="E16:E18"/>
    <mergeCell ref="F16:F1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8"/>
  </sheetPr>
  <dimension ref="A1:AL14"/>
  <sheetViews>
    <sheetView topLeftCell="B1" zoomScale="90" zoomScaleNormal="90" workbookViewId="0">
      <pane xSplit="7" ySplit="3" topLeftCell="R4" activePane="bottomRight" state="frozen"/>
      <selection activeCell="AI4" sqref="AI4:AI5"/>
      <selection pane="topRight" activeCell="AI4" sqref="AI4:AI5"/>
      <selection pane="bottomLeft" activeCell="AI4" sqref="AI4:AI5"/>
      <selection pane="bottomRight" activeCell="AD17" sqref="AD17"/>
    </sheetView>
  </sheetViews>
  <sheetFormatPr baseColWidth="10" defaultColWidth="11.5703125" defaultRowHeight="15" x14ac:dyDescent="0.25"/>
  <cols>
    <col min="1" max="1" width="15.85546875" style="904" customWidth="1"/>
    <col min="2" max="2" width="20.42578125" style="905" customWidth="1"/>
    <col min="3" max="3" width="18.28515625" style="894" customWidth="1"/>
    <col min="4" max="4" width="8.5703125" style="886" customWidth="1"/>
    <col min="5" max="5" width="15.7109375" style="894" customWidth="1"/>
    <col min="6" max="6" width="23" style="894" customWidth="1"/>
    <col min="7" max="7" width="23.7109375" style="894" customWidth="1"/>
    <col min="8" max="8" width="31.5703125" style="895" customWidth="1"/>
    <col min="9" max="9" width="7" style="886" bestFit="1" customWidth="1"/>
    <col min="10" max="10" width="8.85546875"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6.28515625" style="886" hidden="1" customWidth="1"/>
    <col min="22" max="22" width="7.42578125" style="886" hidden="1" customWidth="1"/>
    <col min="23" max="23" width="85.5703125" style="886" hidden="1" customWidth="1"/>
    <col min="24" max="24" width="17.7109375" style="886" hidden="1" customWidth="1"/>
    <col min="25" max="25" width="19.5703125" style="886" hidden="1" customWidth="1"/>
    <col min="26" max="26" width="14.42578125" style="886" hidden="1" customWidth="1"/>
    <col min="27" max="27" width="57" style="886" hidden="1" customWidth="1"/>
    <col min="28" max="28" width="26.85546875" style="886" hidden="1" customWidth="1"/>
    <col min="29" max="29" width="17.7109375" style="886" bestFit="1" customWidth="1"/>
    <col min="30" max="31" width="19.5703125" style="886" customWidth="1"/>
    <col min="32" max="32" width="57" style="886" customWidth="1"/>
    <col min="33" max="33" width="26.85546875" style="886" customWidth="1"/>
    <col min="34" max="36" width="11.5703125" style="886"/>
    <col min="37" max="37" width="30" style="886" customWidth="1"/>
    <col min="38" max="16384" width="11.5703125" style="886"/>
  </cols>
  <sheetData>
    <row r="1" spans="1:38" ht="63.75" customHeight="1" x14ac:dyDescent="0.25">
      <c r="A1" s="2094" t="s">
        <v>2563</v>
      </c>
      <c r="B1" s="2094"/>
      <c r="C1" s="2094"/>
      <c r="D1" s="2094"/>
      <c r="E1" s="2094"/>
      <c r="F1" s="2094"/>
      <c r="G1" s="2094"/>
      <c r="H1" s="2094"/>
      <c r="I1" s="1939" t="s">
        <v>1351</v>
      </c>
      <c r="J1" s="1939"/>
      <c r="K1" s="1939"/>
      <c r="L1" s="1939"/>
      <c r="M1" s="1939"/>
      <c r="N1" s="1939"/>
      <c r="O1" s="1939"/>
      <c r="P1" s="1939"/>
      <c r="Q1" s="1939"/>
      <c r="R1" s="1939"/>
      <c r="S1" s="1939"/>
      <c r="T1" s="1939"/>
      <c r="U1" s="2150" t="s">
        <v>2141</v>
      </c>
      <c r="V1" s="2150"/>
      <c r="W1" s="2150"/>
      <c r="X1" s="2173" t="s">
        <v>2138</v>
      </c>
      <c r="Y1" s="2172"/>
      <c r="Z1" s="2172"/>
      <c r="AA1" s="2172"/>
      <c r="AB1" s="2172"/>
      <c r="AC1" s="2173" t="s">
        <v>2631</v>
      </c>
      <c r="AD1" s="2172"/>
      <c r="AE1" s="2172"/>
      <c r="AF1" s="2172"/>
      <c r="AG1" s="2172"/>
      <c r="AH1" s="2173" t="s">
        <v>2873</v>
      </c>
      <c r="AI1" s="2172"/>
      <c r="AJ1" s="2172"/>
      <c r="AK1" s="2172"/>
      <c r="AL1" s="2172"/>
    </row>
    <row r="2" spans="1:38" ht="7.5" customHeight="1" x14ac:dyDescent="0.25">
      <c r="A2" s="900"/>
      <c r="B2" s="894"/>
      <c r="C2" s="807"/>
      <c r="D2" s="807"/>
      <c r="E2" s="807"/>
      <c r="F2" s="807"/>
      <c r="G2" s="808"/>
      <c r="H2" s="793"/>
    </row>
    <row r="3" spans="1:38" s="906" customFormat="1" ht="47.25" customHeight="1"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c r="V3" s="928"/>
      <c r="W3" s="777" t="s">
        <v>1922</v>
      </c>
      <c r="X3" s="777" t="s">
        <v>1926</v>
      </c>
      <c r="Y3" s="777" t="s">
        <v>1927</v>
      </c>
      <c r="Z3" s="777" t="s">
        <v>2126</v>
      </c>
      <c r="AA3" s="777" t="s">
        <v>2159</v>
      </c>
      <c r="AB3" s="777" t="s">
        <v>1928</v>
      </c>
      <c r="AC3" s="1633" t="s">
        <v>1926</v>
      </c>
      <c r="AD3" s="1633" t="s">
        <v>1927</v>
      </c>
      <c r="AE3" s="1633" t="s">
        <v>2126</v>
      </c>
      <c r="AF3" s="1633" t="s">
        <v>2159</v>
      </c>
      <c r="AG3" s="1633" t="s">
        <v>1928</v>
      </c>
      <c r="AH3" s="1767" t="s">
        <v>1926</v>
      </c>
      <c r="AI3" s="1767" t="s">
        <v>1927</v>
      </c>
      <c r="AJ3" s="1767" t="s">
        <v>2126</v>
      </c>
      <c r="AK3" s="1767" t="s">
        <v>2159</v>
      </c>
      <c r="AL3" s="1767" t="s">
        <v>1928</v>
      </c>
    </row>
    <row r="4" spans="1:38" ht="210" x14ac:dyDescent="0.25">
      <c r="A4" s="2304"/>
      <c r="B4" s="1986" t="s">
        <v>1630</v>
      </c>
      <c r="C4" s="1986" t="s">
        <v>1631</v>
      </c>
      <c r="D4" s="993">
        <v>0.7</v>
      </c>
      <c r="E4" s="966" t="s">
        <v>1808</v>
      </c>
      <c r="F4" s="966" t="s">
        <v>1686</v>
      </c>
      <c r="G4" s="746" t="s">
        <v>1727</v>
      </c>
      <c r="H4" s="957" t="s">
        <v>1923</v>
      </c>
      <c r="I4" s="1039" t="s">
        <v>1397</v>
      </c>
      <c r="J4" s="1040" t="s">
        <v>1397</v>
      </c>
      <c r="K4" s="1040" t="s">
        <v>1397</v>
      </c>
      <c r="L4" s="1040" t="s">
        <v>1397</v>
      </c>
      <c r="M4" s="1040" t="s">
        <v>1397</v>
      </c>
      <c r="N4" s="1040" t="s">
        <v>1397</v>
      </c>
      <c r="O4" s="1040" t="s">
        <v>1397</v>
      </c>
      <c r="P4" s="1040" t="s">
        <v>1397</v>
      </c>
      <c r="Q4" s="1040" t="s">
        <v>1397</v>
      </c>
      <c r="R4" s="1040" t="s">
        <v>1397</v>
      </c>
      <c r="S4" s="1040" t="s">
        <v>1397</v>
      </c>
      <c r="T4" s="1389" t="s">
        <v>1397</v>
      </c>
      <c r="U4" s="1388">
        <f>(161+4992)/8000</f>
        <v>0.64412499999999995</v>
      </c>
      <c r="V4" s="2333">
        <v>0.57199999999999995</v>
      </c>
      <c r="W4" s="1955" t="s">
        <v>2435</v>
      </c>
      <c r="X4" s="1100">
        <v>0.91</v>
      </c>
      <c r="Y4" s="2117">
        <v>0.96</v>
      </c>
      <c r="Z4" s="892"/>
      <c r="AA4" s="889" t="s">
        <v>2523</v>
      </c>
      <c r="AB4" s="889"/>
      <c r="AC4" s="1619">
        <v>1</v>
      </c>
      <c r="AD4" s="2117">
        <v>1</v>
      </c>
      <c r="AE4" s="1643" t="s">
        <v>2660</v>
      </c>
      <c r="AF4" s="759" t="s">
        <v>2663</v>
      </c>
      <c r="AG4" s="889"/>
      <c r="AH4" s="1749">
        <v>1</v>
      </c>
      <c r="AI4" s="2117">
        <v>1</v>
      </c>
      <c r="AJ4" s="1729" t="s">
        <v>2660</v>
      </c>
      <c r="AK4" s="1770" t="s">
        <v>2923</v>
      </c>
      <c r="AL4" s="889"/>
    </row>
    <row r="5" spans="1:38" ht="105" x14ac:dyDescent="0.25">
      <c r="A5" s="2304"/>
      <c r="B5" s="2335"/>
      <c r="C5" s="2335"/>
      <c r="D5" s="1390">
        <v>0.7</v>
      </c>
      <c r="E5" s="1214" t="s">
        <v>1687</v>
      </c>
      <c r="F5" s="1214" t="s">
        <v>1688</v>
      </c>
      <c r="G5" s="1214" t="s">
        <v>1727</v>
      </c>
      <c r="H5" s="1646" t="s">
        <v>1924</v>
      </c>
      <c r="I5" s="1120" t="s">
        <v>1397</v>
      </c>
      <c r="J5" s="1121" t="s">
        <v>1397</v>
      </c>
      <c r="K5" s="1121" t="s">
        <v>1397</v>
      </c>
      <c r="L5" s="1121" t="s">
        <v>1397</v>
      </c>
      <c r="M5" s="1121" t="s">
        <v>1397</v>
      </c>
      <c r="N5" s="1121" t="s">
        <v>1397</v>
      </c>
      <c r="O5" s="1121" t="s">
        <v>1397</v>
      </c>
      <c r="P5" s="1121" t="s">
        <v>1397</v>
      </c>
      <c r="Q5" s="1121" t="s">
        <v>1397</v>
      </c>
      <c r="R5" s="1121" t="s">
        <v>1397</v>
      </c>
      <c r="S5" s="1121" t="s">
        <v>1397</v>
      </c>
      <c r="T5" s="1391" t="s">
        <v>1397</v>
      </c>
      <c r="U5" s="1392">
        <v>0.5</v>
      </c>
      <c r="V5" s="2334"/>
      <c r="W5" s="1960"/>
      <c r="X5" s="1476">
        <v>1</v>
      </c>
      <c r="Y5" s="2118"/>
      <c r="Z5" s="1393"/>
      <c r="AA5" s="956" t="s">
        <v>2524</v>
      </c>
      <c r="AB5" s="956" t="s">
        <v>2525</v>
      </c>
      <c r="AC5" s="1612">
        <v>1</v>
      </c>
      <c r="AD5" s="2118"/>
      <c r="AE5" s="1644" t="s">
        <v>2661</v>
      </c>
      <c r="AF5" s="956" t="s">
        <v>2524</v>
      </c>
      <c r="AG5" s="956" t="s">
        <v>2525</v>
      </c>
      <c r="AH5" s="1732">
        <v>1</v>
      </c>
      <c r="AI5" s="2118"/>
      <c r="AJ5" s="1741" t="s">
        <v>2661</v>
      </c>
      <c r="AK5" s="1776" t="s">
        <v>2924</v>
      </c>
      <c r="AL5" s="956" t="s">
        <v>2525</v>
      </c>
    </row>
    <row r="6" spans="1:38" x14ac:dyDescent="0.25">
      <c r="A6" s="1395" t="s">
        <v>2377</v>
      </c>
      <c r="B6" s="903"/>
      <c r="C6" s="891"/>
      <c r="D6" s="892"/>
      <c r="E6" s="891"/>
      <c r="F6" s="891"/>
      <c r="G6" s="891"/>
      <c r="H6" s="893"/>
      <c r="I6" s="902"/>
      <c r="J6" s="902"/>
      <c r="K6" s="902"/>
      <c r="L6" s="902"/>
      <c r="M6" s="902"/>
      <c r="N6" s="902"/>
      <c r="O6" s="902"/>
      <c r="P6" s="902"/>
      <c r="Q6" s="902"/>
      <c r="R6" s="902"/>
      <c r="S6" s="902"/>
      <c r="T6" s="902"/>
      <c r="U6" s="892"/>
      <c r="V6" s="892"/>
      <c r="W6" s="892"/>
      <c r="X6" s="892"/>
      <c r="Y6" s="892"/>
      <c r="Z6" s="892"/>
      <c r="AA6" s="892"/>
      <c r="AB6" s="892"/>
      <c r="AC6" s="892"/>
      <c r="AD6" s="892"/>
      <c r="AE6" s="892"/>
      <c r="AF6" s="892"/>
      <c r="AG6" s="892"/>
      <c r="AH6" s="892"/>
      <c r="AI6" s="892"/>
      <c r="AJ6" s="892"/>
      <c r="AK6" s="892"/>
      <c r="AL6" s="892"/>
    </row>
    <row r="7" spans="1:38" x14ac:dyDescent="0.25">
      <c r="A7" s="902"/>
      <c r="B7" s="903"/>
      <c r="C7" s="891"/>
      <c r="D7" s="892"/>
      <c r="E7" s="891"/>
      <c r="F7" s="891"/>
      <c r="G7" s="891"/>
      <c r="H7" s="893"/>
      <c r="I7" s="902"/>
      <c r="J7" s="902"/>
      <c r="K7" s="902"/>
      <c r="L7" s="902"/>
      <c r="M7" s="902"/>
      <c r="N7" s="902"/>
      <c r="O7" s="902"/>
      <c r="P7" s="902"/>
      <c r="Q7" s="902"/>
      <c r="R7" s="902"/>
      <c r="S7" s="902"/>
      <c r="T7" s="902"/>
      <c r="U7" s="892"/>
      <c r="V7" s="1394">
        <f>(57.2%*25%)</f>
        <v>0.14300000000000002</v>
      </c>
      <c r="W7" s="892"/>
      <c r="X7" s="892"/>
      <c r="Y7" s="892"/>
      <c r="Z7" s="892"/>
      <c r="AA7" s="892"/>
      <c r="AB7" s="892"/>
      <c r="AC7" s="892"/>
      <c r="AD7" s="892"/>
      <c r="AE7" s="892"/>
      <c r="AF7" s="892"/>
      <c r="AG7" s="892"/>
      <c r="AH7" s="892"/>
      <c r="AI7" s="892"/>
      <c r="AJ7" s="892"/>
      <c r="AK7" s="892"/>
      <c r="AL7" s="892"/>
    </row>
    <row r="9" spans="1:38" x14ac:dyDescent="0.25">
      <c r="X9" s="1202" t="s">
        <v>2395</v>
      </c>
      <c r="Y9" s="1380" t="s">
        <v>2396</v>
      </c>
      <c r="AC9" s="1202" t="s">
        <v>2395</v>
      </c>
      <c r="AD9" s="1380" t="s">
        <v>2528</v>
      </c>
      <c r="AH9" s="1202" t="s">
        <v>2395</v>
      </c>
      <c r="AI9" s="1380" t="s">
        <v>2528</v>
      </c>
    </row>
    <row r="10" spans="1:38" x14ac:dyDescent="0.25">
      <c r="X10" s="1202" t="s">
        <v>2526</v>
      </c>
      <c r="Y10" s="1204" t="s">
        <v>2376</v>
      </c>
      <c r="Z10" s="1507">
        <f>(96%*25%)</f>
        <v>0.24</v>
      </c>
      <c r="AC10" s="1202" t="s">
        <v>2662</v>
      </c>
      <c r="AD10" s="1204" t="s">
        <v>2376</v>
      </c>
      <c r="AE10" s="1507">
        <v>0.25</v>
      </c>
      <c r="AH10" s="1202" t="s">
        <v>2662</v>
      </c>
      <c r="AI10" s="1204" t="s">
        <v>2376</v>
      </c>
      <c r="AJ10" s="1507">
        <v>0.25</v>
      </c>
    </row>
    <row r="14" spans="1:38" x14ac:dyDescent="0.25">
      <c r="AD14" s="1234"/>
    </row>
  </sheetData>
  <mergeCells count="14">
    <mergeCell ref="AH1:AL1"/>
    <mergeCell ref="AI4:AI5"/>
    <mergeCell ref="AC1:AG1"/>
    <mergeCell ref="AD4:AD5"/>
    <mergeCell ref="X1:AB1"/>
    <mergeCell ref="Y4:Y5"/>
    <mergeCell ref="W4:W5"/>
    <mergeCell ref="V4:V5"/>
    <mergeCell ref="U1:W1"/>
    <mergeCell ref="A1:H1"/>
    <mergeCell ref="I1:T1"/>
    <mergeCell ref="A4:A5"/>
    <mergeCell ref="B4:B5"/>
    <mergeCell ref="C4:C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tabColor theme="8"/>
    <pageSetUpPr fitToPage="1"/>
  </sheetPr>
  <dimension ref="A1:AN41"/>
  <sheetViews>
    <sheetView topLeftCell="C1" zoomScale="70" zoomScaleNormal="70" zoomScaleSheetLayoutView="85" workbookViewId="0">
      <pane xSplit="6" ySplit="3" topLeftCell="AJ28" activePane="bottomRight" state="frozen"/>
      <selection activeCell="C1" sqref="C1"/>
      <selection pane="topRight" activeCell="I1" sqref="I1"/>
      <selection pane="bottomLeft" activeCell="C4" sqref="C4"/>
      <selection pane="bottomRight" activeCell="AK38" sqref="AK38"/>
    </sheetView>
  </sheetViews>
  <sheetFormatPr baseColWidth="10" defaultColWidth="11.5703125" defaultRowHeight="15" x14ac:dyDescent="0.25"/>
  <cols>
    <col min="1" max="1" width="20.28515625" style="904" customWidth="1"/>
    <col min="2" max="2" width="21.140625" style="905" customWidth="1"/>
    <col min="3" max="3" width="32.5703125" style="894" customWidth="1"/>
    <col min="4" max="4" width="12.7109375" style="886" customWidth="1"/>
    <col min="5" max="5" width="20.140625" style="894" customWidth="1"/>
    <col min="6" max="6" width="25.5703125" style="894" customWidth="1"/>
    <col min="7" max="7" width="23.7109375" style="894" customWidth="1"/>
    <col min="8" max="8" width="41.42578125" style="895" customWidth="1"/>
    <col min="9" max="9" width="7.42578125" style="886" bestFit="1" customWidth="1"/>
    <col min="10" max="10" width="9.5703125" style="886" bestFit="1" customWidth="1"/>
    <col min="11" max="11" width="8" style="886" bestFit="1" customWidth="1"/>
    <col min="12" max="12" width="6.42578125" style="886" bestFit="1" customWidth="1"/>
    <col min="13" max="14" width="6.7109375" style="886" bestFit="1" customWidth="1"/>
    <col min="15" max="15" width="6.28515625" style="886" bestFit="1" customWidth="1"/>
    <col min="16" max="16" width="8.85546875" style="886" bestFit="1" customWidth="1"/>
    <col min="17" max="17" width="12.42578125" style="886" bestFit="1" customWidth="1"/>
    <col min="18" max="18" width="9.85546875" style="886" bestFit="1" customWidth="1"/>
    <col min="19" max="19" width="12.28515625" style="886" bestFit="1" customWidth="1"/>
    <col min="20" max="20" width="11.28515625" style="886" bestFit="1" customWidth="1"/>
    <col min="21" max="22" width="11.5703125" style="886" hidden="1" customWidth="1"/>
    <col min="23" max="23" width="62" style="886" hidden="1" customWidth="1"/>
    <col min="24" max="24" width="23.5703125" style="886" hidden="1" customWidth="1"/>
    <col min="25" max="25" width="19.85546875" style="886" hidden="1" customWidth="1"/>
    <col min="26" max="26" width="18.7109375" style="886" hidden="1" customWidth="1"/>
    <col min="27" max="27" width="20.85546875" style="1396" hidden="1" customWidth="1"/>
    <col min="28" max="28" width="48.85546875" style="992" hidden="1" customWidth="1"/>
    <col min="29" max="29" width="42.42578125" style="992" hidden="1" customWidth="1"/>
    <col min="30" max="30" width="44.85546875" style="886" hidden="1" customWidth="1"/>
    <col min="31" max="31" width="22.140625" style="886" customWidth="1"/>
    <col min="32" max="32" width="20.85546875" style="1396" customWidth="1"/>
    <col min="33" max="33" width="48.85546875" style="992" customWidth="1"/>
    <col min="34" max="34" width="62.7109375" style="992" customWidth="1"/>
    <col min="35" max="35" width="64.42578125" style="886" customWidth="1"/>
    <col min="36" max="36" width="11.5703125" style="886"/>
    <col min="37" max="37" width="20.28515625" style="886" customWidth="1"/>
    <col min="38" max="38" width="36.28515625" style="886" customWidth="1"/>
    <col min="39" max="39" width="59.5703125" style="886" customWidth="1"/>
    <col min="40" max="40" width="53.28515625" style="886" customWidth="1"/>
    <col min="41" max="16384" width="11.5703125" style="886"/>
  </cols>
  <sheetData>
    <row r="1" spans="1:40" ht="64.5" customHeight="1" x14ac:dyDescent="0.25">
      <c r="A1" s="2094" t="s">
        <v>2564</v>
      </c>
      <c r="B1" s="2094"/>
      <c r="C1" s="2094"/>
      <c r="D1" s="2094"/>
      <c r="E1" s="2094"/>
      <c r="F1" s="2094"/>
      <c r="G1" s="2094"/>
      <c r="H1" s="2094"/>
      <c r="I1" s="1939" t="s">
        <v>1351</v>
      </c>
      <c r="J1" s="1939"/>
      <c r="K1" s="1939"/>
      <c r="L1" s="1939"/>
      <c r="M1" s="1939"/>
      <c r="N1" s="1939"/>
      <c r="O1" s="1939"/>
      <c r="P1" s="1939"/>
      <c r="Q1" s="1939"/>
      <c r="R1" s="1939"/>
      <c r="S1" s="1939"/>
      <c r="T1" s="1939"/>
      <c r="U1" s="2239" t="s">
        <v>1970</v>
      </c>
      <c r="V1" s="2239"/>
      <c r="W1" s="2239"/>
      <c r="X1" s="939"/>
      <c r="Z1" s="2173" t="s">
        <v>2138</v>
      </c>
      <c r="AA1" s="2172"/>
      <c r="AB1" s="2172"/>
      <c r="AC1" s="2172"/>
      <c r="AD1" s="2172"/>
      <c r="AE1" s="2173" t="s">
        <v>2630</v>
      </c>
      <c r="AF1" s="2172"/>
      <c r="AG1" s="2172"/>
      <c r="AH1" s="2172"/>
      <c r="AI1" s="2172"/>
      <c r="AJ1" s="2173" t="s">
        <v>2871</v>
      </c>
      <c r="AK1" s="2172"/>
      <c r="AL1" s="2172"/>
      <c r="AM1" s="2172"/>
      <c r="AN1" s="2172"/>
    </row>
    <row r="2" spans="1:40" ht="7.5" customHeight="1" x14ac:dyDescent="0.25">
      <c r="A2" s="900"/>
      <c r="B2" s="894"/>
      <c r="C2" s="807"/>
      <c r="D2" s="807"/>
      <c r="E2" s="807"/>
      <c r="F2" s="807"/>
      <c r="G2" s="808"/>
      <c r="H2" s="793"/>
      <c r="X2" s="807"/>
      <c r="AK2" s="1396"/>
      <c r="AL2" s="992"/>
      <c r="AM2" s="992"/>
    </row>
    <row r="3" spans="1:40" s="906" customFormat="1" ht="51.75" customHeight="1" x14ac:dyDescent="0.25">
      <c r="A3" s="777" t="s">
        <v>1221</v>
      </c>
      <c r="B3" s="777" t="s">
        <v>47</v>
      </c>
      <c r="C3" s="811" t="s">
        <v>1461</v>
      </c>
      <c r="D3" s="811" t="s">
        <v>1</v>
      </c>
      <c r="E3" s="811" t="s">
        <v>51</v>
      </c>
      <c r="F3" s="811" t="s">
        <v>2216</v>
      </c>
      <c r="G3" s="1412" t="s">
        <v>3</v>
      </c>
      <c r="H3" s="811"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2087</v>
      </c>
      <c r="X3" s="779"/>
      <c r="Y3" s="779"/>
      <c r="Z3" s="811" t="s">
        <v>1926</v>
      </c>
      <c r="AA3" s="1413" t="s">
        <v>1927</v>
      </c>
      <c r="AB3" s="811" t="s">
        <v>2126</v>
      </c>
      <c r="AC3" s="777" t="s">
        <v>1925</v>
      </c>
      <c r="AD3" s="777" t="s">
        <v>1928</v>
      </c>
      <c r="AE3" s="1634" t="s">
        <v>1926</v>
      </c>
      <c r="AF3" s="811" t="s">
        <v>1927</v>
      </c>
      <c r="AG3" s="811" t="s">
        <v>2126</v>
      </c>
      <c r="AH3" s="811" t="s">
        <v>1925</v>
      </c>
      <c r="AI3" s="811" t="s">
        <v>1928</v>
      </c>
      <c r="AJ3" s="1634" t="s">
        <v>1926</v>
      </c>
      <c r="AK3" s="811" t="s">
        <v>1927</v>
      </c>
      <c r="AL3" s="811" t="s">
        <v>2126</v>
      </c>
      <c r="AM3" s="811" t="s">
        <v>1925</v>
      </c>
      <c r="AN3" s="811" t="s">
        <v>1928</v>
      </c>
    </row>
    <row r="4" spans="1:40" s="908" customFormat="1" ht="114.75" customHeight="1" x14ac:dyDescent="0.25">
      <c r="A4" s="1951" t="s">
        <v>1547</v>
      </c>
      <c r="B4" s="1986" t="s">
        <v>1548</v>
      </c>
      <c r="C4" s="2374" t="s">
        <v>1549</v>
      </c>
      <c r="D4" s="2375">
        <v>1</v>
      </c>
      <c r="E4" s="2374" t="s">
        <v>1462</v>
      </c>
      <c r="F4" s="2374" t="s">
        <v>1499</v>
      </c>
      <c r="G4" s="2374" t="s">
        <v>1550</v>
      </c>
      <c r="H4" s="912" t="s">
        <v>1546</v>
      </c>
      <c r="I4" s="1046"/>
      <c r="J4" s="1041"/>
      <c r="K4" s="1041"/>
      <c r="L4" s="1041"/>
      <c r="M4" s="1041"/>
      <c r="N4" s="1041"/>
      <c r="O4" s="1041"/>
      <c r="P4" s="1041"/>
      <c r="Q4" s="1041"/>
      <c r="R4" s="1041"/>
      <c r="S4" s="1041"/>
      <c r="T4" s="1377"/>
      <c r="U4" s="2380" t="s">
        <v>353</v>
      </c>
      <c r="V4" s="914"/>
      <c r="W4" s="914"/>
      <c r="X4" s="1414"/>
      <c r="Y4" s="1422"/>
      <c r="Z4" s="2099">
        <v>1</v>
      </c>
      <c r="AA4" s="2117">
        <v>1</v>
      </c>
      <c r="AB4" s="2104" t="s">
        <v>2378</v>
      </c>
      <c r="AC4" s="2390" t="s">
        <v>2379</v>
      </c>
      <c r="AD4" s="914"/>
      <c r="AE4" s="2099">
        <v>1</v>
      </c>
      <c r="AF4" s="2117">
        <v>1</v>
      </c>
      <c r="AG4" s="2104" t="s">
        <v>2792</v>
      </c>
      <c r="AH4" s="2390" t="s">
        <v>2793</v>
      </c>
      <c r="AI4" s="914"/>
      <c r="AJ4" s="2099">
        <v>1</v>
      </c>
      <c r="AK4" s="2117">
        <v>1</v>
      </c>
      <c r="AL4" s="2104" t="s">
        <v>2792</v>
      </c>
      <c r="AM4" s="2390" t="s">
        <v>2793</v>
      </c>
      <c r="AN4" s="914"/>
    </row>
    <row r="5" spans="1:40" s="908" customFormat="1" ht="114.75" customHeight="1" x14ac:dyDescent="0.25">
      <c r="A5" s="1951"/>
      <c r="B5" s="1986"/>
      <c r="C5" s="2374"/>
      <c r="D5" s="2375"/>
      <c r="E5" s="2374"/>
      <c r="F5" s="2374"/>
      <c r="G5" s="2374"/>
      <c r="H5" s="912" t="s">
        <v>1248</v>
      </c>
      <c r="I5" s="1064"/>
      <c r="J5" s="1044"/>
      <c r="K5" s="1044"/>
      <c r="L5" s="1044"/>
      <c r="M5" s="1044"/>
      <c r="N5" s="1044"/>
      <c r="O5" s="1044"/>
      <c r="P5" s="1044"/>
      <c r="Q5" s="1044"/>
      <c r="R5" s="1044"/>
      <c r="S5" s="1044"/>
      <c r="T5" s="1378"/>
      <c r="U5" s="2381"/>
      <c r="V5" s="914"/>
      <c r="W5" s="914"/>
      <c r="X5" s="1414"/>
      <c r="Y5" s="1423"/>
      <c r="Z5" s="1961"/>
      <c r="AA5" s="2149"/>
      <c r="AB5" s="2152"/>
      <c r="AC5" s="2390"/>
      <c r="AD5" s="914"/>
      <c r="AE5" s="1961"/>
      <c r="AF5" s="2149"/>
      <c r="AG5" s="2152"/>
      <c r="AH5" s="2390"/>
      <c r="AI5" s="914"/>
      <c r="AJ5" s="1961"/>
      <c r="AK5" s="2149"/>
      <c r="AL5" s="2152"/>
      <c r="AM5" s="2390"/>
      <c r="AN5" s="914"/>
    </row>
    <row r="6" spans="1:40" s="908" customFormat="1" ht="114.75" customHeight="1" x14ac:dyDescent="0.25">
      <c r="A6" s="1951"/>
      <c r="B6" s="1986"/>
      <c r="C6" s="2374"/>
      <c r="D6" s="2375"/>
      <c r="E6" s="2374"/>
      <c r="F6" s="2374"/>
      <c r="G6" s="2374"/>
      <c r="H6" s="782" t="s">
        <v>1242</v>
      </c>
      <c r="I6" s="1065"/>
      <c r="J6" s="1059"/>
      <c r="K6" s="1059"/>
      <c r="L6" s="1059"/>
      <c r="M6" s="1059"/>
      <c r="N6" s="1059"/>
      <c r="O6" s="1059"/>
      <c r="P6" s="1059"/>
      <c r="Q6" s="1059"/>
      <c r="R6" s="1059"/>
      <c r="S6" s="1059"/>
      <c r="T6" s="1511"/>
      <c r="U6" s="2145"/>
      <c r="V6" s="914"/>
      <c r="W6" s="914"/>
      <c r="X6" s="745"/>
      <c r="Y6" s="1415" t="s">
        <v>84</v>
      </c>
      <c r="Z6" s="1962"/>
      <c r="AA6" s="2118"/>
      <c r="AB6" s="2105"/>
      <c r="AC6" s="2390"/>
      <c r="AD6" s="914"/>
      <c r="AE6" s="1962"/>
      <c r="AF6" s="2118"/>
      <c r="AG6" s="2105"/>
      <c r="AH6" s="2390"/>
      <c r="AI6" s="914"/>
      <c r="AJ6" s="1962"/>
      <c r="AK6" s="2118"/>
      <c r="AL6" s="2105"/>
      <c r="AM6" s="2390"/>
      <c r="AN6" s="914"/>
    </row>
    <row r="7" spans="1:40" s="908" customFormat="1" ht="45.75" customHeight="1" x14ac:dyDescent="0.25">
      <c r="A7" s="1951"/>
      <c r="B7" s="1986"/>
      <c r="C7" s="2374" t="s">
        <v>1518</v>
      </c>
      <c r="D7" s="2375" t="s">
        <v>1500</v>
      </c>
      <c r="E7" s="2374" t="s">
        <v>1502</v>
      </c>
      <c r="F7" s="2379" t="s">
        <v>1503</v>
      </c>
      <c r="G7" s="2374" t="s">
        <v>1550</v>
      </c>
      <c r="H7" s="912" t="s">
        <v>1546</v>
      </c>
      <c r="I7" s="1046"/>
      <c r="J7" s="1041"/>
      <c r="K7" s="1041"/>
      <c r="L7" s="1041"/>
      <c r="M7" s="1041"/>
      <c r="N7" s="1041"/>
      <c r="O7" s="1041"/>
      <c r="P7" s="1041"/>
      <c r="Q7" s="1041"/>
      <c r="R7" s="1041"/>
      <c r="S7" s="1041"/>
      <c r="T7" s="1377"/>
      <c r="U7" s="2382" t="s">
        <v>353</v>
      </c>
      <c r="V7" s="914"/>
      <c r="W7" s="914"/>
      <c r="X7" s="966"/>
      <c r="Y7" s="2376" t="s">
        <v>1551</v>
      </c>
      <c r="Z7" s="2099">
        <v>1</v>
      </c>
      <c r="AA7" s="2117">
        <v>1</v>
      </c>
      <c r="AB7" s="2104" t="s">
        <v>2380</v>
      </c>
      <c r="AC7" s="2390" t="s">
        <v>2436</v>
      </c>
      <c r="AD7" s="914"/>
      <c r="AE7" s="2099">
        <v>1</v>
      </c>
      <c r="AF7" s="2117">
        <v>1</v>
      </c>
      <c r="AG7" s="2104" t="s">
        <v>2795</v>
      </c>
      <c r="AH7" s="2390" t="s">
        <v>2794</v>
      </c>
      <c r="AI7" s="1960" t="s">
        <v>2796</v>
      </c>
      <c r="AJ7" s="2099">
        <v>1</v>
      </c>
      <c r="AK7" s="2117">
        <v>1</v>
      </c>
      <c r="AL7" s="2104" t="s">
        <v>2795</v>
      </c>
      <c r="AM7" s="2390" t="s">
        <v>2794</v>
      </c>
      <c r="AN7" s="1960" t="s">
        <v>2796</v>
      </c>
    </row>
    <row r="8" spans="1:40" s="908" customFormat="1" ht="45.75" customHeight="1" x14ac:dyDescent="0.25">
      <c r="A8" s="1951"/>
      <c r="B8" s="1986"/>
      <c r="C8" s="2374"/>
      <c r="D8" s="2375"/>
      <c r="E8" s="2374"/>
      <c r="F8" s="2379"/>
      <c r="G8" s="2374"/>
      <c r="H8" s="912" t="s">
        <v>1248</v>
      </c>
      <c r="I8" s="1064"/>
      <c r="J8" s="1044"/>
      <c r="K8" s="1044"/>
      <c r="L8" s="1044"/>
      <c r="M8" s="1044"/>
      <c r="N8" s="1044"/>
      <c r="O8" s="1044"/>
      <c r="P8" s="1044"/>
      <c r="Q8" s="1044"/>
      <c r="R8" s="1044"/>
      <c r="S8" s="1044"/>
      <c r="T8" s="1378"/>
      <c r="U8" s="2383"/>
      <c r="V8" s="914"/>
      <c r="W8" s="914"/>
      <c r="X8" s="966"/>
      <c r="Y8" s="2377"/>
      <c r="Z8" s="1961"/>
      <c r="AA8" s="2149"/>
      <c r="AB8" s="2152"/>
      <c r="AC8" s="2390"/>
      <c r="AD8" s="914"/>
      <c r="AE8" s="1961"/>
      <c r="AF8" s="2149"/>
      <c r="AG8" s="2152"/>
      <c r="AH8" s="2390"/>
      <c r="AI8" s="1961"/>
      <c r="AJ8" s="1961"/>
      <c r="AK8" s="2149"/>
      <c r="AL8" s="2152"/>
      <c r="AM8" s="2390"/>
      <c r="AN8" s="1961"/>
    </row>
    <row r="9" spans="1:40" s="908" customFormat="1" ht="45.75" customHeight="1" x14ac:dyDescent="0.25">
      <c r="A9" s="1951"/>
      <c r="B9" s="1986"/>
      <c r="C9" s="2374"/>
      <c r="D9" s="2375"/>
      <c r="E9" s="2374"/>
      <c r="F9" s="2379"/>
      <c r="G9" s="2374"/>
      <c r="H9" s="912" t="s">
        <v>1501</v>
      </c>
      <c r="I9" s="1065"/>
      <c r="J9" s="1059"/>
      <c r="K9" s="1059"/>
      <c r="L9" s="1059"/>
      <c r="M9" s="1059"/>
      <c r="N9" s="1059"/>
      <c r="O9" s="1059"/>
      <c r="P9" s="1059"/>
      <c r="Q9" s="1059"/>
      <c r="R9" s="1059"/>
      <c r="S9" s="1059"/>
      <c r="T9" s="1511"/>
      <c r="U9" s="2384"/>
      <c r="V9" s="914"/>
      <c r="W9" s="914"/>
      <c r="X9" s="966"/>
      <c r="Y9" s="2378"/>
      <c r="Z9" s="1962"/>
      <c r="AA9" s="2118"/>
      <c r="AB9" s="2105"/>
      <c r="AC9" s="2390"/>
      <c r="AD9" s="914"/>
      <c r="AE9" s="1962"/>
      <c r="AF9" s="2118"/>
      <c r="AG9" s="2105"/>
      <c r="AH9" s="2390"/>
      <c r="AI9" s="1962"/>
      <c r="AJ9" s="1962"/>
      <c r="AK9" s="2118"/>
      <c r="AL9" s="2105"/>
      <c r="AM9" s="2390"/>
      <c r="AN9" s="1962"/>
    </row>
    <row r="10" spans="1:40" s="908" customFormat="1" ht="120" x14ac:dyDescent="0.25">
      <c r="A10" s="2095" t="s">
        <v>1547</v>
      </c>
      <c r="B10" s="2370" t="s">
        <v>1599</v>
      </c>
      <c r="C10" s="2370" t="s">
        <v>1784</v>
      </c>
      <c r="D10" s="2371">
        <v>0.8</v>
      </c>
      <c r="E10" s="2370" t="s">
        <v>1783</v>
      </c>
      <c r="F10" s="2336" t="s">
        <v>1186</v>
      </c>
      <c r="G10" s="2348" t="s">
        <v>1510</v>
      </c>
      <c r="H10" s="1170" t="s">
        <v>2388</v>
      </c>
      <c r="I10" s="1046"/>
      <c r="J10" s="1041"/>
      <c r="K10" s="1040" t="s">
        <v>1397</v>
      </c>
      <c r="L10" s="1041"/>
      <c r="M10" s="1041"/>
      <c r="N10" s="1040"/>
      <c r="O10" s="1040" t="s">
        <v>1397</v>
      </c>
      <c r="P10" s="1041"/>
      <c r="Q10" s="1040" t="s">
        <v>1397</v>
      </c>
      <c r="R10" s="1041"/>
      <c r="S10" s="1041"/>
      <c r="T10" s="1129" t="s">
        <v>1397</v>
      </c>
      <c r="U10" s="1416">
        <v>1</v>
      </c>
      <c r="V10" s="2306">
        <v>0.84</v>
      </c>
      <c r="W10" s="2336" t="s">
        <v>2088</v>
      </c>
      <c r="X10" s="1417">
        <v>43190</v>
      </c>
      <c r="Y10" s="2367" t="s">
        <v>292</v>
      </c>
      <c r="Z10" s="2126" t="s">
        <v>353</v>
      </c>
      <c r="AA10" s="2117" t="s">
        <v>353</v>
      </c>
      <c r="AB10" s="2104"/>
      <c r="AC10" s="1994"/>
      <c r="AD10" s="1994" t="s">
        <v>2148</v>
      </c>
      <c r="AE10" s="1684">
        <v>1</v>
      </c>
      <c r="AF10" s="2117">
        <v>0.85</v>
      </c>
      <c r="AG10" s="2104" t="s">
        <v>2797</v>
      </c>
      <c r="AH10" s="1994" t="s">
        <v>2798</v>
      </c>
      <c r="AI10" s="1994" t="s">
        <v>2148</v>
      </c>
      <c r="AJ10" s="1739">
        <v>1</v>
      </c>
      <c r="AK10" s="2117">
        <v>0.9</v>
      </c>
      <c r="AL10" s="2104" t="s">
        <v>2797</v>
      </c>
      <c r="AM10" s="1994" t="s">
        <v>3026</v>
      </c>
      <c r="AN10" s="1994" t="s">
        <v>2148</v>
      </c>
    </row>
    <row r="11" spans="1:40" s="908" customFormat="1" ht="41.25" customHeight="1" x14ac:dyDescent="0.25">
      <c r="A11" s="2095"/>
      <c r="B11" s="2370"/>
      <c r="C11" s="2370"/>
      <c r="D11" s="2371"/>
      <c r="E11" s="2370"/>
      <c r="F11" s="2336"/>
      <c r="G11" s="2349"/>
      <c r="H11" s="1170" t="s">
        <v>1199</v>
      </c>
      <c r="I11" s="1064"/>
      <c r="J11" s="1044"/>
      <c r="K11" s="1043" t="s">
        <v>1397</v>
      </c>
      <c r="L11" s="1044"/>
      <c r="M11" s="1044"/>
      <c r="N11" s="1043"/>
      <c r="O11" s="1043" t="s">
        <v>1397</v>
      </c>
      <c r="P11" s="1044"/>
      <c r="Q11" s="1043" t="s">
        <v>1397</v>
      </c>
      <c r="R11" s="1044"/>
      <c r="S11" s="1044"/>
      <c r="T11" s="1130" t="s">
        <v>1397</v>
      </c>
      <c r="U11" s="2345">
        <f>'[6]Programa de Vigilancia Marzo 18'!$G$15</f>
        <v>0.12587561501810884</v>
      </c>
      <c r="V11" s="2306"/>
      <c r="W11" s="2336"/>
      <c r="X11" s="1417">
        <v>43465</v>
      </c>
      <c r="Y11" s="2368"/>
      <c r="Z11" s="2127"/>
      <c r="AA11" s="2149"/>
      <c r="AB11" s="2152"/>
      <c r="AC11" s="1994"/>
      <c r="AD11" s="1994"/>
      <c r="AE11" s="2157">
        <v>0.69</v>
      </c>
      <c r="AF11" s="2149"/>
      <c r="AG11" s="2152"/>
      <c r="AH11" s="1994"/>
      <c r="AI11" s="1994"/>
      <c r="AJ11" s="2157">
        <v>0.8</v>
      </c>
      <c r="AK11" s="2149"/>
      <c r="AL11" s="2152"/>
      <c r="AM11" s="1994"/>
      <c r="AN11" s="1994"/>
    </row>
    <row r="12" spans="1:40" s="908" customFormat="1" ht="36.75" customHeight="1" x14ac:dyDescent="0.25">
      <c r="A12" s="2095"/>
      <c r="B12" s="2370"/>
      <c r="C12" s="2370"/>
      <c r="D12" s="2371"/>
      <c r="E12" s="2370"/>
      <c r="F12" s="2336"/>
      <c r="G12" s="2350"/>
      <c r="H12" s="1170" t="s">
        <v>1189</v>
      </c>
      <c r="I12" s="1065"/>
      <c r="J12" s="1059"/>
      <c r="K12" s="1058" t="s">
        <v>1397</v>
      </c>
      <c r="L12" s="1058"/>
      <c r="M12" s="1058"/>
      <c r="N12" s="1058"/>
      <c r="O12" s="1058" t="s">
        <v>1397</v>
      </c>
      <c r="P12" s="1058"/>
      <c r="Q12" s="1058" t="s">
        <v>1397</v>
      </c>
      <c r="R12" s="1058"/>
      <c r="S12" s="1058"/>
      <c r="T12" s="1196" t="s">
        <v>1397</v>
      </c>
      <c r="U12" s="2345"/>
      <c r="V12" s="2306"/>
      <c r="W12" s="2336"/>
      <c r="X12" s="1417">
        <v>43465</v>
      </c>
      <c r="Y12" s="2369"/>
      <c r="Z12" s="2128"/>
      <c r="AA12" s="2118"/>
      <c r="AB12" s="2105"/>
      <c r="AC12" s="1994"/>
      <c r="AD12" s="1994"/>
      <c r="AE12" s="2128"/>
      <c r="AF12" s="2118"/>
      <c r="AG12" s="2105"/>
      <c r="AH12" s="1994"/>
      <c r="AI12" s="1994"/>
      <c r="AJ12" s="2128"/>
      <c r="AK12" s="2118"/>
      <c r="AL12" s="2105"/>
      <c r="AM12" s="1994"/>
      <c r="AN12" s="1994"/>
    </row>
    <row r="13" spans="1:40" s="908" customFormat="1" ht="51" customHeight="1" x14ac:dyDescent="0.25">
      <c r="A13" s="2095"/>
      <c r="B13" s="1952" t="s">
        <v>374</v>
      </c>
      <c r="C13" s="1952" t="s">
        <v>1216</v>
      </c>
      <c r="D13" s="2013">
        <v>0.8</v>
      </c>
      <c r="E13" s="2361" t="s">
        <v>1783</v>
      </c>
      <c r="F13" s="1952" t="s">
        <v>1191</v>
      </c>
      <c r="G13" s="2348" t="s">
        <v>1510</v>
      </c>
      <c r="H13" s="1187" t="s">
        <v>1192</v>
      </c>
      <c r="I13" s="1046"/>
      <c r="J13" s="1041"/>
      <c r="K13" s="1040" t="s">
        <v>1397</v>
      </c>
      <c r="L13" s="1040"/>
      <c r="M13" s="1040"/>
      <c r="N13" s="1040" t="s">
        <v>1397</v>
      </c>
      <c r="O13" s="1040"/>
      <c r="P13" s="1040"/>
      <c r="Q13" s="1040" t="s">
        <v>1397</v>
      </c>
      <c r="R13" s="1040"/>
      <c r="S13" s="1040"/>
      <c r="T13" s="1040" t="s">
        <v>1397</v>
      </c>
      <c r="U13" s="1416">
        <v>1</v>
      </c>
      <c r="V13" s="2306">
        <v>0.34</v>
      </c>
      <c r="W13" s="1952" t="s">
        <v>2437</v>
      </c>
      <c r="X13" s="942">
        <v>43190</v>
      </c>
      <c r="Y13" s="2354" t="s">
        <v>243</v>
      </c>
      <c r="Z13" s="887">
        <v>1</v>
      </c>
      <c r="AA13" s="2117">
        <v>0.59</v>
      </c>
      <c r="AB13" s="1418" t="s">
        <v>2381</v>
      </c>
      <c r="AC13" s="912" t="s">
        <v>2155</v>
      </c>
      <c r="AD13" s="1955" t="s">
        <v>2438</v>
      </c>
      <c r="AE13" s="1607">
        <v>1</v>
      </c>
      <c r="AF13" s="2117">
        <v>0.81</v>
      </c>
      <c r="AG13" s="1418" t="s">
        <v>2799</v>
      </c>
      <c r="AH13" s="781" t="s">
        <v>2813</v>
      </c>
      <c r="AI13" s="1955"/>
      <c r="AJ13" s="1728">
        <v>1</v>
      </c>
      <c r="AK13" s="2117">
        <v>0.93</v>
      </c>
      <c r="AL13" s="1418" t="s">
        <v>2799</v>
      </c>
      <c r="AM13" s="781" t="s">
        <v>2813</v>
      </c>
      <c r="AN13" s="1955"/>
    </row>
    <row r="14" spans="1:40" s="908" customFormat="1" ht="94.5" customHeight="1" x14ac:dyDescent="0.25">
      <c r="A14" s="2095"/>
      <c r="B14" s="1952"/>
      <c r="C14" s="1952"/>
      <c r="D14" s="2013"/>
      <c r="E14" s="2361"/>
      <c r="F14" s="1952"/>
      <c r="G14" s="2349"/>
      <c r="H14" s="1187" t="s">
        <v>1193</v>
      </c>
      <c r="I14" s="1064"/>
      <c r="J14" s="1044"/>
      <c r="K14" s="1043" t="s">
        <v>1397</v>
      </c>
      <c r="L14" s="1043"/>
      <c r="M14" s="1043"/>
      <c r="N14" s="1043" t="s">
        <v>1397</v>
      </c>
      <c r="O14" s="1043"/>
      <c r="P14" s="1043"/>
      <c r="Q14" s="1043" t="s">
        <v>1397</v>
      </c>
      <c r="R14" s="1043"/>
      <c r="S14" s="1043"/>
      <c r="T14" s="1043" t="s">
        <v>1397</v>
      </c>
      <c r="U14" s="1416">
        <v>0</v>
      </c>
      <c r="V14" s="2306"/>
      <c r="W14" s="1952"/>
      <c r="X14" s="942">
        <v>43465</v>
      </c>
      <c r="Y14" s="2355"/>
      <c r="Z14" s="887">
        <v>0.6</v>
      </c>
      <c r="AA14" s="2149"/>
      <c r="AB14" s="2387" t="s">
        <v>2157</v>
      </c>
      <c r="AC14" s="755" t="s">
        <v>2156</v>
      </c>
      <c r="AD14" s="1955"/>
      <c r="AE14" s="1607">
        <v>0.8</v>
      </c>
      <c r="AF14" s="2149"/>
      <c r="AG14" s="2387" t="s">
        <v>2800</v>
      </c>
      <c r="AH14" s="1628" t="s">
        <v>2814</v>
      </c>
      <c r="AI14" s="1955"/>
      <c r="AJ14" s="1728">
        <v>0.8</v>
      </c>
      <c r="AK14" s="2149"/>
      <c r="AL14" s="2387" t="s">
        <v>2800</v>
      </c>
      <c r="AM14" s="1747" t="s">
        <v>2814</v>
      </c>
      <c r="AN14" s="1955"/>
    </row>
    <row r="15" spans="1:40" s="908" customFormat="1" ht="210" x14ac:dyDescent="0.25">
      <c r="A15" s="2095"/>
      <c r="B15" s="1952"/>
      <c r="C15" s="1952"/>
      <c r="D15" s="2013"/>
      <c r="E15" s="2361"/>
      <c r="F15" s="1952"/>
      <c r="G15" s="2350"/>
      <c r="H15" s="1170" t="s">
        <v>1194</v>
      </c>
      <c r="I15" s="1065"/>
      <c r="J15" s="1059"/>
      <c r="K15" s="1058" t="s">
        <v>1397</v>
      </c>
      <c r="L15" s="1058"/>
      <c r="M15" s="1058"/>
      <c r="N15" s="1058" t="s">
        <v>1397</v>
      </c>
      <c r="O15" s="1058"/>
      <c r="P15" s="1058"/>
      <c r="Q15" s="1058" t="s">
        <v>1397</v>
      </c>
      <c r="R15" s="1058"/>
      <c r="S15" s="1058"/>
      <c r="T15" s="1058" t="s">
        <v>1397</v>
      </c>
      <c r="U15" s="1416">
        <v>0.02</v>
      </c>
      <c r="V15" s="2306"/>
      <c r="W15" s="1952"/>
      <c r="X15" s="942">
        <v>43465</v>
      </c>
      <c r="Y15" s="2356"/>
      <c r="Z15" s="887">
        <v>0.17</v>
      </c>
      <c r="AA15" s="2118"/>
      <c r="AB15" s="2389"/>
      <c r="AC15" s="755" t="s">
        <v>2382</v>
      </c>
      <c r="AD15" s="1955"/>
      <c r="AE15" s="1607">
        <v>0.64</v>
      </c>
      <c r="AF15" s="2118"/>
      <c r="AG15" s="2389"/>
      <c r="AH15" s="1628" t="s">
        <v>2801</v>
      </c>
      <c r="AI15" s="1955"/>
      <c r="AJ15" s="1728">
        <v>1</v>
      </c>
      <c r="AK15" s="2118"/>
      <c r="AL15" s="2389"/>
      <c r="AM15" s="1747" t="s">
        <v>3027</v>
      </c>
      <c r="AN15" s="1955"/>
    </row>
    <row r="16" spans="1:40" s="908" customFormat="1" ht="79.5" customHeight="1" x14ac:dyDescent="0.25">
      <c r="A16" s="2095"/>
      <c r="B16" s="1952" t="s">
        <v>1599</v>
      </c>
      <c r="C16" s="2372" t="s">
        <v>1785</v>
      </c>
      <c r="D16" s="2362">
        <v>0.8</v>
      </c>
      <c r="E16" s="2363" t="s">
        <v>1786</v>
      </c>
      <c r="F16" s="2339" t="s">
        <v>1197</v>
      </c>
      <c r="G16" s="2351" t="s">
        <v>1510</v>
      </c>
      <c r="H16" s="1397" t="s">
        <v>1198</v>
      </c>
      <c r="I16" s="1424"/>
      <c r="J16" s="1425"/>
      <c r="K16" s="1398" t="s">
        <v>1397</v>
      </c>
      <c r="L16" s="1398"/>
      <c r="M16" s="1398"/>
      <c r="N16" s="1398" t="s">
        <v>1397</v>
      </c>
      <c r="O16" s="1398"/>
      <c r="P16" s="1398"/>
      <c r="Q16" s="1398" t="s">
        <v>1397</v>
      </c>
      <c r="R16" s="1398"/>
      <c r="S16" s="1398"/>
      <c r="T16" s="1398" t="s">
        <v>1397</v>
      </c>
      <c r="U16" s="1399" t="s">
        <v>1397</v>
      </c>
      <c r="V16" s="2337" t="s">
        <v>353</v>
      </c>
      <c r="W16" s="2339" t="s">
        <v>2093</v>
      </c>
      <c r="X16" s="1400">
        <v>43190</v>
      </c>
      <c r="Y16" s="2357" t="s">
        <v>243</v>
      </c>
      <c r="Z16" s="2339" t="s">
        <v>353</v>
      </c>
      <c r="AA16" s="2337"/>
      <c r="AB16" s="1401"/>
      <c r="AC16" s="2385"/>
      <c r="AD16" s="2391" t="s">
        <v>2439</v>
      </c>
      <c r="AE16" s="2339" t="s">
        <v>353</v>
      </c>
      <c r="AF16" s="2337"/>
      <c r="AG16" s="1630"/>
      <c r="AH16" s="2385"/>
      <c r="AI16" s="2391" t="s">
        <v>2439</v>
      </c>
      <c r="AJ16" s="2339" t="s">
        <v>353</v>
      </c>
      <c r="AK16" s="2337"/>
      <c r="AL16" s="1743"/>
      <c r="AM16" s="2385"/>
      <c r="AN16" s="2391" t="s">
        <v>2439</v>
      </c>
    </row>
    <row r="17" spans="1:40" s="908" customFormat="1" ht="36" customHeight="1" x14ac:dyDescent="0.25">
      <c r="A17" s="2095"/>
      <c r="B17" s="1952"/>
      <c r="C17" s="2372"/>
      <c r="D17" s="2360"/>
      <c r="E17" s="2364"/>
      <c r="F17" s="2340"/>
      <c r="G17" s="2352"/>
      <c r="H17" s="1402" t="s">
        <v>1199</v>
      </c>
      <c r="I17" s="1426"/>
      <c r="J17" s="1427"/>
      <c r="K17" s="1403" t="s">
        <v>1397</v>
      </c>
      <c r="L17" s="1403"/>
      <c r="M17" s="1403"/>
      <c r="N17" s="1403" t="s">
        <v>1397</v>
      </c>
      <c r="O17" s="1403"/>
      <c r="P17" s="1403"/>
      <c r="Q17" s="1403" t="s">
        <v>1397</v>
      </c>
      <c r="R17" s="1403"/>
      <c r="S17" s="1403"/>
      <c r="T17" s="1403" t="s">
        <v>1397</v>
      </c>
      <c r="U17" s="1404" t="s">
        <v>1397</v>
      </c>
      <c r="V17" s="2338"/>
      <c r="W17" s="2340"/>
      <c r="X17" s="1405">
        <v>43465</v>
      </c>
      <c r="Y17" s="2357"/>
      <c r="Z17" s="2340"/>
      <c r="AA17" s="2338"/>
      <c r="AB17" s="1406"/>
      <c r="AC17" s="2386"/>
      <c r="AD17" s="2392"/>
      <c r="AE17" s="2340"/>
      <c r="AF17" s="2338"/>
      <c r="AG17" s="1629"/>
      <c r="AH17" s="2386"/>
      <c r="AI17" s="2392"/>
      <c r="AJ17" s="2340"/>
      <c r="AK17" s="2338"/>
      <c r="AL17" s="1744"/>
      <c r="AM17" s="2386"/>
      <c r="AN17" s="2392"/>
    </row>
    <row r="18" spans="1:40" s="908" customFormat="1" ht="55.5" customHeight="1" x14ac:dyDescent="0.25">
      <c r="A18" s="2095"/>
      <c r="B18" s="1952"/>
      <c r="C18" s="2372"/>
      <c r="D18" s="2360"/>
      <c r="E18" s="2364"/>
      <c r="F18" s="2340"/>
      <c r="G18" s="2352"/>
      <c r="H18" s="1402" t="s">
        <v>1189</v>
      </c>
      <c r="I18" s="1426"/>
      <c r="J18" s="1427"/>
      <c r="K18" s="1403" t="s">
        <v>1397</v>
      </c>
      <c r="L18" s="1403"/>
      <c r="M18" s="1403"/>
      <c r="N18" s="1403" t="s">
        <v>1397</v>
      </c>
      <c r="O18" s="1403"/>
      <c r="P18" s="1403"/>
      <c r="Q18" s="1403" t="s">
        <v>1397</v>
      </c>
      <c r="R18" s="1403"/>
      <c r="S18" s="1403"/>
      <c r="T18" s="1403" t="s">
        <v>1397</v>
      </c>
      <c r="U18" s="1404" t="s">
        <v>1397</v>
      </c>
      <c r="V18" s="2338"/>
      <c r="W18" s="2340"/>
      <c r="X18" s="1405">
        <v>43465</v>
      </c>
      <c r="Y18" s="2358"/>
      <c r="Z18" s="2340"/>
      <c r="AA18" s="2338"/>
      <c r="AB18" s="1406"/>
      <c r="AC18" s="2386"/>
      <c r="AD18" s="2392"/>
      <c r="AE18" s="2340"/>
      <c r="AF18" s="2338"/>
      <c r="AG18" s="1629"/>
      <c r="AH18" s="2386"/>
      <c r="AI18" s="2392"/>
      <c r="AJ18" s="2340"/>
      <c r="AK18" s="2338"/>
      <c r="AL18" s="1744"/>
      <c r="AM18" s="2386"/>
      <c r="AN18" s="2392"/>
    </row>
    <row r="19" spans="1:40" s="908" customFormat="1" ht="96" customHeight="1" x14ac:dyDescent="0.25">
      <c r="A19" s="2095"/>
      <c r="B19" s="1952" t="s">
        <v>1599</v>
      </c>
      <c r="C19" s="2372"/>
      <c r="D19" s="2360">
        <v>0.8</v>
      </c>
      <c r="E19" s="2340" t="s">
        <v>1787</v>
      </c>
      <c r="F19" s="2340" t="s">
        <v>1197</v>
      </c>
      <c r="G19" s="2352"/>
      <c r="H19" s="1402" t="s">
        <v>2264</v>
      </c>
      <c r="I19" s="1426"/>
      <c r="J19" s="1427"/>
      <c r="K19" s="1403" t="s">
        <v>1397</v>
      </c>
      <c r="L19" s="1403"/>
      <c r="M19" s="1403"/>
      <c r="N19" s="1403" t="s">
        <v>1397</v>
      </c>
      <c r="O19" s="1403"/>
      <c r="P19" s="1403"/>
      <c r="Q19" s="1403" t="s">
        <v>1397</v>
      </c>
      <c r="R19" s="1403"/>
      <c r="S19" s="1403"/>
      <c r="T19" s="1403" t="s">
        <v>1397</v>
      </c>
      <c r="U19" s="1407" t="s">
        <v>1397</v>
      </c>
      <c r="V19" s="2341" t="s">
        <v>353</v>
      </c>
      <c r="W19" s="2340" t="s">
        <v>2093</v>
      </c>
      <c r="X19" s="1405">
        <v>43190</v>
      </c>
      <c r="Y19" s="2359" t="s">
        <v>243</v>
      </c>
      <c r="Z19" s="2340" t="s">
        <v>353</v>
      </c>
      <c r="AA19" s="2338"/>
      <c r="AB19" s="1406"/>
      <c r="AC19" s="2386"/>
      <c r="AD19" s="2392"/>
      <c r="AE19" s="2340" t="s">
        <v>353</v>
      </c>
      <c r="AF19" s="2338"/>
      <c r="AG19" s="1629"/>
      <c r="AH19" s="2386"/>
      <c r="AI19" s="2392"/>
      <c r="AJ19" s="2340" t="s">
        <v>353</v>
      </c>
      <c r="AK19" s="2338"/>
      <c r="AL19" s="1744"/>
      <c r="AM19" s="2386"/>
      <c r="AN19" s="2392"/>
    </row>
    <row r="20" spans="1:40" s="908" customFormat="1" ht="35.25" customHeight="1" x14ac:dyDescent="0.25">
      <c r="A20" s="2095"/>
      <c r="B20" s="1952"/>
      <c r="C20" s="2372"/>
      <c r="D20" s="2360"/>
      <c r="E20" s="2340"/>
      <c r="F20" s="2340"/>
      <c r="G20" s="2352"/>
      <c r="H20" s="1402" t="s">
        <v>1199</v>
      </c>
      <c r="I20" s="1426"/>
      <c r="J20" s="1427"/>
      <c r="K20" s="1403" t="s">
        <v>1397</v>
      </c>
      <c r="L20" s="1403"/>
      <c r="M20" s="1403"/>
      <c r="N20" s="1403" t="s">
        <v>1397</v>
      </c>
      <c r="O20" s="1403"/>
      <c r="P20" s="1403"/>
      <c r="Q20" s="1403" t="s">
        <v>1397</v>
      </c>
      <c r="R20" s="1403"/>
      <c r="S20" s="1403"/>
      <c r="T20" s="1403" t="s">
        <v>1397</v>
      </c>
      <c r="U20" s="1407" t="s">
        <v>1397</v>
      </c>
      <c r="V20" s="2341"/>
      <c r="W20" s="2340"/>
      <c r="X20" s="1405">
        <v>43465</v>
      </c>
      <c r="Y20" s="2357"/>
      <c r="Z20" s="2340"/>
      <c r="AA20" s="2338"/>
      <c r="AB20" s="1406"/>
      <c r="AC20" s="2386"/>
      <c r="AD20" s="2392"/>
      <c r="AE20" s="2340"/>
      <c r="AF20" s="2338"/>
      <c r="AG20" s="1629"/>
      <c r="AH20" s="2386"/>
      <c r="AI20" s="2392"/>
      <c r="AJ20" s="2340"/>
      <c r="AK20" s="2338"/>
      <c r="AL20" s="1744"/>
      <c r="AM20" s="2386"/>
      <c r="AN20" s="2392"/>
    </row>
    <row r="21" spans="1:40" s="908" customFormat="1" ht="35.25" customHeight="1" x14ac:dyDescent="0.25">
      <c r="A21" s="2095"/>
      <c r="B21" s="1952"/>
      <c r="C21" s="2373"/>
      <c r="D21" s="2360"/>
      <c r="E21" s="2340"/>
      <c r="F21" s="2340"/>
      <c r="G21" s="2353"/>
      <c r="H21" s="1408" t="s">
        <v>1189</v>
      </c>
      <c r="I21" s="1428"/>
      <c r="J21" s="1429"/>
      <c r="K21" s="1409" t="s">
        <v>1397</v>
      </c>
      <c r="L21" s="1409"/>
      <c r="M21" s="1409"/>
      <c r="N21" s="1409" t="s">
        <v>1397</v>
      </c>
      <c r="O21" s="1409"/>
      <c r="P21" s="1409"/>
      <c r="Q21" s="1409" t="s">
        <v>1397</v>
      </c>
      <c r="R21" s="1409"/>
      <c r="S21" s="1409"/>
      <c r="T21" s="1409" t="s">
        <v>1397</v>
      </c>
      <c r="U21" s="1410" t="s">
        <v>1397</v>
      </c>
      <c r="V21" s="2342"/>
      <c r="W21" s="2346"/>
      <c r="X21" s="1411">
        <v>43465</v>
      </c>
      <c r="Y21" s="2357"/>
      <c r="Z21" s="2340"/>
      <c r="AA21" s="2338"/>
      <c r="AB21" s="1406"/>
      <c r="AC21" s="2386"/>
      <c r="AD21" s="2385"/>
      <c r="AE21" s="2340"/>
      <c r="AF21" s="2338"/>
      <c r="AG21" s="1629"/>
      <c r="AH21" s="2386"/>
      <c r="AI21" s="2385"/>
      <c r="AJ21" s="2340"/>
      <c r="AK21" s="2338"/>
      <c r="AL21" s="1744"/>
      <c r="AM21" s="2386"/>
      <c r="AN21" s="2385"/>
    </row>
    <row r="22" spans="1:40" s="908" customFormat="1" ht="42.75" customHeight="1" x14ac:dyDescent="0.25">
      <c r="A22" s="2095"/>
      <c r="B22" s="1952" t="s">
        <v>1599</v>
      </c>
      <c r="C22" s="1952" t="s">
        <v>1788</v>
      </c>
      <c r="D22" s="2013">
        <v>1</v>
      </c>
      <c r="E22" s="1952" t="s">
        <v>1201</v>
      </c>
      <c r="F22" s="1952" t="s">
        <v>1202</v>
      </c>
      <c r="G22" s="2348" t="s">
        <v>1510</v>
      </c>
      <c r="H22" s="1166" t="s">
        <v>1203</v>
      </c>
      <c r="I22" s="1046"/>
      <c r="J22" s="1041"/>
      <c r="K22" s="1040" t="s">
        <v>1397</v>
      </c>
      <c r="L22" s="1040"/>
      <c r="M22" s="1040"/>
      <c r="N22" s="1040" t="s">
        <v>1397</v>
      </c>
      <c r="O22" s="1040"/>
      <c r="P22" s="1040" t="s">
        <v>1397</v>
      </c>
      <c r="Q22" s="1040" t="s">
        <v>1397</v>
      </c>
      <c r="R22" s="1040"/>
      <c r="S22" s="1040"/>
      <c r="T22" s="1040" t="s">
        <v>1397</v>
      </c>
      <c r="U22" s="993">
        <v>1</v>
      </c>
      <c r="V22" s="2347">
        <v>0.38</v>
      </c>
      <c r="W22" s="1952" t="s">
        <v>2440</v>
      </c>
      <c r="X22" s="942">
        <v>43190</v>
      </c>
      <c r="Y22" s="2354" t="s">
        <v>243</v>
      </c>
      <c r="Z22" s="887">
        <v>1</v>
      </c>
      <c r="AA22" s="2306">
        <v>0.73</v>
      </c>
      <c r="AB22" s="2387" t="s">
        <v>2441</v>
      </c>
      <c r="AC22" s="911" t="s">
        <v>2149</v>
      </c>
      <c r="AD22" s="914"/>
      <c r="AE22" s="1607">
        <v>1</v>
      </c>
      <c r="AF22" s="2306">
        <v>0.94</v>
      </c>
      <c r="AG22" s="2387" t="s">
        <v>2802</v>
      </c>
      <c r="AH22" s="1626" t="s">
        <v>2803</v>
      </c>
      <c r="AI22" s="914"/>
      <c r="AJ22" s="1728">
        <v>1</v>
      </c>
      <c r="AK22" s="2306">
        <v>0.94</v>
      </c>
      <c r="AL22" s="2387" t="s">
        <v>2802</v>
      </c>
      <c r="AM22" s="1828" t="s">
        <v>2803</v>
      </c>
      <c r="AN22" s="914"/>
    </row>
    <row r="23" spans="1:40" s="908" customFormat="1" ht="24" customHeight="1" x14ac:dyDescent="0.25">
      <c r="A23" s="2095"/>
      <c r="B23" s="1952"/>
      <c r="C23" s="1952"/>
      <c r="D23" s="2013"/>
      <c r="E23" s="1952"/>
      <c r="F23" s="1952"/>
      <c r="G23" s="2349"/>
      <c r="H23" s="1166" t="s">
        <v>1204</v>
      </c>
      <c r="I23" s="1064"/>
      <c r="J23" s="1044"/>
      <c r="K23" s="1043" t="s">
        <v>1397</v>
      </c>
      <c r="L23" s="1043"/>
      <c r="M23" s="1043"/>
      <c r="N23" s="1043" t="s">
        <v>1397</v>
      </c>
      <c r="O23" s="1043"/>
      <c r="P23" s="1043"/>
      <c r="Q23" s="1043" t="s">
        <v>1397</v>
      </c>
      <c r="R23" s="1043"/>
      <c r="S23" s="1043"/>
      <c r="T23" s="1043" t="s">
        <v>1397</v>
      </c>
      <c r="U23" s="993">
        <v>0.5</v>
      </c>
      <c r="V23" s="2347"/>
      <c r="W23" s="1952"/>
      <c r="X23" s="942">
        <v>43343</v>
      </c>
      <c r="Y23" s="2355"/>
      <c r="Z23" s="887">
        <v>0.5</v>
      </c>
      <c r="AA23" s="2306"/>
      <c r="AB23" s="2388"/>
      <c r="AC23" s="2366" t="s">
        <v>2383</v>
      </c>
      <c r="AD23" s="914"/>
      <c r="AE23" s="1607">
        <v>0.88</v>
      </c>
      <c r="AF23" s="2306"/>
      <c r="AG23" s="2388"/>
      <c r="AH23" s="2366" t="s">
        <v>2804</v>
      </c>
      <c r="AI23" s="914"/>
      <c r="AJ23" s="1728">
        <v>0.88</v>
      </c>
      <c r="AK23" s="2306"/>
      <c r="AL23" s="2388"/>
      <c r="AM23" s="2366" t="s">
        <v>2804</v>
      </c>
      <c r="AN23" s="914"/>
    </row>
    <row r="24" spans="1:40" s="908" customFormat="1" ht="48" customHeight="1" x14ac:dyDescent="0.25">
      <c r="A24" s="2095"/>
      <c r="B24" s="1952"/>
      <c r="C24" s="1952"/>
      <c r="D24" s="2013"/>
      <c r="E24" s="1952"/>
      <c r="F24" s="1952"/>
      <c r="G24" s="2349"/>
      <c r="H24" s="1166" t="s">
        <v>1205</v>
      </c>
      <c r="I24" s="1064"/>
      <c r="J24" s="1044"/>
      <c r="K24" s="1043" t="s">
        <v>1397</v>
      </c>
      <c r="L24" s="1043"/>
      <c r="M24" s="1043"/>
      <c r="N24" s="1043" t="s">
        <v>1397</v>
      </c>
      <c r="O24" s="1043"/>
      <c r="P24" s="1043"/>
      <c r="Q24" s="1043" t="s">
        <v>1397</v>
      </c>
      <c r="R24" s="1043"/>
      <c r="S24" s="1043"/>
      <c r="T24" s="1043" t="s">
        <v>1397</v>
      </c>
      <c r="U24" s="993">
        <v>0</v>
      </c>
      <c r="V24" s="2347"/>
      <c r="W24" s="1952"/>
      <c r="X24" s="942">
        <v>43373</v>
      </c>
      <c r="Y24" s="2355"/>
      <c r="Z24" s="887">
        <v>0.5</v>
      </c>
      <c r="AA24" s="2306"/>
      <c r="AB24" s="2388"/>
      <c r="AC24" s="2366"/>
      <c r="AD24" s="914"/>
      <c r="AE24" s="1607">
        <v>0.88</v>
      </c>
      <c r="AF24" s="2306"/>
      <c r="AG24" s="2388"/>
      <c r="AH24" s="2366"/>
      <c r="AI24" s="914"/>
      <c r="AJ24" s="1728">
        <v>0.88</v>
      </c>
      <c r="AK24" s="2306"/>
      <c r="AL24" s="2388"/>
      <c r="AM24" s="2366"/>
      <c r="AN24" s="914"/>
    </row>
    <row r="25" spans="1:40" s="908" customFormat="1" ht="409.5" x14ac:dyDescent="0.25">
      <c r="A25" s="2095"/>
      <c r="B25" s="1952"/>
      <c r="C25" s="1952"/>
      <c r="D25" s="2013"/>
      <c r="E25" s="1952"/>
      <c r="F25" s="1952"/>
      <c r="G25" s="2350"/>
      <c r="H25" s="1166" t="s">
        <v>1206</v>
      </c>
      <c r="I25" s="1065"/>
      <c r="J25" s="1059"/>
      <c r="K25" s="1058" t="s">
        <v>1397</v>
      </c>
      <c r="L25" s="1058"/>
      <c r="M25" s="1058"/>
      <c r="N25" s="1058" t="s">
        <v>1397</v>
      </c>
      <c r="O25" s="1058"/>
      <c r="P25" s="1058"/>
      <c r="Q25" s="1058" t="s">
        <v>1397</v>
      </c>
      <c r="R25" s="1058"/>
      <c r="S25" s="1058" t="s">
        <v>1397</v>
      </c>
      <c r="T25" s="1058" t="s">
        <v>1397</v>
      </c>
      <c r="U25" s="993">
        <v>0</v>
      </c>
      <c r="V25" s="2347"/>
      <c r="W25" s="1952"/>
      <c r="X25" s="942">
        <v>43434</v>
      </c>
      <c r="Y25" s="2356"/>
      <c r="Z25" s="887">
        <v>0.9</v>
      </c>
      <c r="AA25" s="2306"/>
      <c r="AB25" s="2389"/>
      <c r="AC25" s="755" t="s">
        <v>2384</v>
      </c>
      <c r="AD25" s="914"/>
      <c r="AE25" s="1607">
        <v>1</v>
      </c>
      <c r="AF25" s="2306"/>
      <c r="AG25" s="2389"/>
      <c r="AH25" s="1628" t="s">
        <v>2805</v>
      </c>
      <c r="AI25" s="914"/>
      <c r="AJ25" s="1728">
        <v>1</v>
      </c>
      <c r="AK25" s="2306"/>
      <c r="AL25" s="2389"/>
      <c r="AM25" s="1829" t="s">
        <v>2805</v>
      </c>
      <c r="AN25" s="914"/>
    </row>
    <row r="26" spans="1:40" s="908" customFormat="1" ht="112.5" customHeight="1" x14ac:dyDescent="0.25">
      <c r="A26" s="2095"/>
      <c r="B26" s="1952" t="s">
        <v>1599</v>
      </c>
      <c r="C26" s="1952" t="s">
        <v>1207</v>
      </c>
      <c r="D26" s="2365">
        <v>2</v>
      </c>
      <c r="E26" s="2366" t="s">
        <v>1208</v>
      </c>
      <c r="F26" s="1952" t="s">
        <v>1209</v>
      </c>
      <c r="G26" s="2348" t="s">
        <v>1510</v>
      </c>
      <c r="H26" s="1419" t="s">
        <v>1211</v>
      </c>
      <c r="I26" s="1039"/>
      <c r="J26" s="1040"/>
      <c r="K26" s="1040" t="s">
        <v>1397</v>
      </c>
      <c r="L26" s="1040"/>
      <c r="M26" s="1040"/>
      <c r="N26" s="1040" t="s">
        <v>1397</v>
      </c>
      <c r="O26" s="1040"/>
      <c r="P26" s="1040"/>
      <c r="Q26" s="1040" t="s">
        <v>1397</v>
      </c>
      <c r="R26" s="1040"/>
      <c r="S26" s="1040"/>
      <c r="T26" s="1129" t="s">
        <v>1397</v>
      </c>
      <c r="U26" s="993">
        <v>0.33</v>
      </c>
      <c r="V26" s="2306">
        <v>0.13</v>
      </c>
      <c r="W26" s="1952" t="s">
        <v>2442</v>
      </c>
      <c r="X26" s="1420">
        <v>43281</v>
      </c>
      <c r="Y26" s="2130" t="s">
        <v>1210</v>
      </c>
      <c r="Z26" s="993">
        <v>1</v>
      </c>
      <c r="AA26" s="2306">
        <v>0.96</v>
      </c>
      <c r="AB26" s="1994" t="s">
        <v>2154</v>
      </c>
      <c r="AC26" s="1419" t="s">
        <v>2443</v>
      </c>
      <c r="AD26" s="2366" t="s">
        <v>2444</v>
      </c>
      <c r="AE26" s="1615">
        <v>1</v>
      </c>
      <c r="AF26" s="2306">
        <v>1</v>
      </c>
      <c r="AG26" s="1994" t="s">
        <v>2154</v>
      </c>
      <c r="AH26" s="1419" t="s">
        <v>2806</v>
      </c>
      <c r="AI26" s="2366" t="s">
        <v>2444</v>
      </c>
      <c r="AJ26" s="1735">
        <v>1</v>
      </c>
      <c r="AK26" s="2306">
        <v>1</v>
      </c>
      <c r="AL26" s="1994" t="s">
        <v>2154</v>
      </c>
      <c r="AM26" s="2393" t="s">
        <v>3028</v>
      </c>
      <c r="AN26" s="2366" t="s">
        <v>2444</v>
      </c>
    </row>
    <row r="27" spans="1:40" s="908" customFormat="1" ht="287.25" customHeight="1" x14ac:dyDescent="0.25">
      <c r="A27" s="2095"/>
      <c r="B27" s="1952"/>
      <c r="C27" s="1952"/>
      <c r="D27" s="2365"/>
      <c r="E27" s="2366"/>
      <c r="F27" s="1952"/>
      <c r="G27" s="2349"/>
      <c r="H27" s="1419" t="s">
        <v>1212</v>
      </c>
      <c r="I27" s="1042"/>
      <c r="J27" s="1043"/>
      <c r="K27" s="1043" t="s">
        <v>1397</v>
      </c>
      <c r="L27" s="1043"/>
      <c r="M27" s="1043"/>
      <c r="N27" s="1043" t="s">
        <v>1397</v>
      </c>
      <c r="O27" s="1043"/>
      <c r="P27" s="1043"/>
      <c r="Q27" s="1043" t="s">
        <v>1397</v>
      </c>
      <c r="R27" s="1043"/>
      <c r="S27" s="1043" t="s">
        <v>1397</v>
      </c>
      <c r="T27" s="1130" t="s">
        <v>1397</v>
      </c>
      <c r="U27" s="993">
        <f>U26</f>
        <v>0.33</v>
      </c>
      <c r="V27" s="2306"/>
      <c r="W27" s="1952"/>
      <c r="X27" s="1420">
        <v>43434</v>
      </c>
      <c r="Y27" s="2130"/>
      <c r="Z27" s="993">
        <f>Z26</f>
        <v>1</v>
      </c>
      <c r="AA27" s="2306"/>
      <c r="AB27" s="1994"/>
      <c r="AC27" s="1419" t="s">
        <v>2385</v>
      </c>
      <c r="AD27" s="2366"/>
      <c r="AE27" s="1615">
        <f>AE26</f>
        <v>1</v>
      </c>
      <c r="AF27" s="2306"/>
      <c r="AG27" s="1994"/>
      <c r="AH27" s="1419" t="s">
        <v>2807</v>
      </c>
      <c r="AI27" s="2366"/>
      <c r="AJ27" s="1735">
        <f>AJ26</f>
        <v>1</v>
      </c>
      <c r="AK27" s="2306"/>
      <c r="AL27" s="1994"/>
      <c r="AM27" s="2394"/>
      <c r="AN27" s="2366"/>
    </row>
    <row r="28" spans="1:40" s="908" customFormat="1" ht="165" x14ac:dyDescent="0.25">
      <c r="A28" s="2095"/>
      <c r="B28" s="1952"/>
      <c r="C28" s="1952"/>
      <c r="D28" s="2365"/>
      <c r="E28" s="2366"/>
      <c r="F28" s="1952"/>
      <c r="G28" s="2349"/>
      <c r="H28" s="1419" t="s">
        <v>1213</v>
      </c>
      <c r="I28" s="1042"/>
      <c r="J28" s="1043"/>
      <c r="K28" s="1043" t="s">
        <v>1397</v>
      </c>
      <c r="L28" s="1043"/>
      <c r="M28" s="1043"/>
      <c r="N28" s="1043" t="s">
        <v>1397</v>
      </c>
      <c r="O28" s="1043"/>
      <c r="P28" s="1043"/>
      <c r="Q28" s="1043" t="s">
        <v>1397</v>
      </c>
      <c r="R28" s="1043"/>
      <c r="S28" s="1043" t="s">
        <v>1397</v>
      </c>
      <c r="T28" s="1130" t="s">
        <v>1397</v>
      </c>
      <c r="U28" s="993">
        <v>0</v>
      </c>
      <c r="V28" s="2306"/>
      <c r="W28" s="1952"/>
      <c r="X28" s="1420">
        <v>43434</v>
      </c>
      <c r="Y28" s="2130"/>
      <c r="Z28" s="993">
        <v>1</v>
      </c>
      <c r="AA28" s="2306"/>
      <c r="AB28" s="1994"/>
      <c r="AC28" s="1419" t="s">
        <v>2386</v>
      </c>
      <c r="AD28" s="2366"/>
      <c r="AE28" s="1615">
        <v>1</v>
      </c>
      <c r="AF28" s="2306"/>
      <c r="AG28" s="1994"/>
      <c r="AH28" s="1419" t="s">
        <v>2811</v>
      </c>
      <c r="AI28" s="2366"/>
      <c r="AJ28" s="1735">
        <v>1</v>
      </c>
      <c r="AK28" s="2306"/>
      <c r="AL28" s="1994"/>
      <c r="AM28" s="2394"/>
      <c r="AN28" s="2366"/>
    </row>
    <row r="29" spans="1:40" s="908" customFormat="1" ht="45" x14ac:dyDescent="0.25">
      <c r="A29" s="2095"/>
      <c r="B29" s="1952"/>
      <c r="C29" s="1952"/>
      <c r="D29" s="2365"/>
      <c r="E29" s="2366"/>
      <c r="F29" s="1952"/>
      <c r="G29" s="2349"/>
      <c r="H29" s="1419" t="s">
        <v>1214</v>
      </c>
      <c r="I29" s="1042"/>
      <c r="J29" s="1043"/>
      <c r="K29" s="1043" t="s">
        <v>1397</v>
      </c>
      <c r="L29" s="1043"/>
      <c r="M29" s="1043"/>
      <c r="N29" s="1043" t="s">
        <v>1397</v>
      </c>
      <c r="O29" s="1043"/>
      <c r="P29" s="1043"/>
      <c r="Q29" s="1043" t="s">
        <v>1397</v>
      </c>
      <c r="R29" s="1043"/>
      <c r="S29" s="1043"/>
      <c r="T29" s="1130" t="s">
        <v>1397</v>
      </c>
      <c r="U29" s="993">
        <v>0</v>
      </c>
      <c r="V29" s="2306"/>
      <c r="W29" s="1952"/>
      <c r="X29" s="1420">
        <v>43449</v>
      </c>
      <c r="Y29" s="2130"/>
      <c r="Z29" s="993">
        <v>1</v>
      </c>
      <c r="AA29" s="2306"/>
      <c r="AB29" s="1994"/>
      <c r="AC29" s="1419" t="s">
        <v>2153</v>
      </c>
      <c r="AD29" s="2366"/>
      <c r="AE29" s="1615">
        <v>1</v>
      </c>
      <c r="AF29" s="2306"/>
      <c r="AG29" s="1994"/>
      <c r="AH29" s="1419" t="s">
        <v>2808</v>
      </c>
      <c r="AI29" s="2366"/>
      <c r="AJ29" s="1735">
        <v>1</v>
      </c>
      <c r="AK29" s="2306"/>
      <c r="AL29" s="1994"/>
      <c r="AM29" s="2394"/>
      <c r="AN29" s="2366"/>
    </row>
    <row r="30" spans="1:40" s="908" customFormat="1" ht="45" x14ac:dyDescent="0.25">
      <c r="A30" s="2095"/>
      <c r="B30" s="1952"/>
      <c r="C30" s="1952"/>
      <c r="D30" s="2365"/>
      <c r="E30" s="2366"/>
      <c r="F30" s="1952"/>
      <c r="G30" s="2350"/>
      <c r="H30" s="1419" t="s">
        <v>1215</v>
      </c>
      <c r="I30" s="1057"/>
      <c r="J30" s="1058"/>
      <c r="K30" s="1058" t="s">
        <v>1397</v>
      </c>
      <c r="L30" s="1058"/>
      <c r="M30" s="1058"/>
      <c r="N30" s="1058" t="s">
        <v>1397</v>
      </c>
      <c r="O30" s="1058"/>
      <c r="P30" s="1058"/>
      <c r="Q30" s="1058" t="s">
        <v>1397</v>
      </c>
      <c r="R30" s="1058"/>
      <c r="S30" s="1058"/>
      <c r="T30" s="1196" t="s">
        <v>1397</v>
      </c>
      <c r="U30" s="993">
        <v>0</v>
      </c>
      <c r="V30" s="2306"/>
      <c r="W30" s="1952"/>
      <c r="X30" s="1420">
        <v>43465</v>
      </c>
      <c r="Y30" s="2130"/>
      <c r="Z30" s="993">
        <v>0.8</v>
      </c>
      <c r="AA30" s="2306"/>
      <c r="AB30" s="1994"/>
      <c r="AC30" s="1419" t="s">
        <v>2445</v>
      </c>
      <c r="AD30" s="2366"/>
      <c r="AE30" s="1615">
        <v>1</v>
      </c>
      <c r="AF30" s="2306"/>
      <c r="AG30" s="1994"/>
      <c r="AH30" s="1419" t="s">
        <v>2809</v>
      </c>
      <c r="AI30" s="2366"/>
      <c r="AJ30" s="1735">
        <v>1</v>
      </c>
      <c r="AK30" s="2306"/>
      <c r="AL30" s="1994"/>
      <c r="AM30" s="2395"/>
      <c r="AN30" s="2366"/>
    </row>
    <row r="31" spans="1:40" s="908" customFormat="1" ht="29.25" customHeight="1" x14ac:dyDescent="0.25">
      <c r="A31" s="2095"/>
      <c r="B31" s="1952" t="s">
        <v>1599</v>
      </c>
      <c r="C31" s="2344" t="s">
        <v>46</v>
      </c>
      <c r="D31" s="2013">
        <v>0.8</v>
      </c>
      <c r="E31" s="2344" t="s">
        <v>45</v>
      </c>
      <c r="F31" s="2344" t="s">
        <v>45</v>
      </c>
      <c r="G31" s="2348" t="s">
        <v>1510</v>
      </c>
      <c r="H31" s="912" t="s">
        <v>1660</v>
      </c>
      <c r="I31" s="1039"/>
      <c r="J31" s="1040"/>
      <c r="K31" s="1040" t="s">
        <v>1397</v>
      </c>
      <c r="L31" s="1040"/>
      <c r="M31" s="1040"/>
      <c r="N31" s="1040" t="s">
        <v>1397</v>
      </c>
      <c r="O31" s="1040"/>
      <c r="P31" s="1040"/>
      <c r="Q31" s="1040" t="s">
        <v>1397</v>
      </c>
      <c r="R31" s="1040"/>
      <c r="S31" s="1040"/>
      <c r="T31" s="1129" t="s">
        <v>1397</v>
      </c>
      <c r="U31" s="993">
        <v>1</v>
      </c>
      <c r="V31" s="2343">
        <v>0.87</v>
      </c>
      <c r="W31" s="2344" t="s">
        <v>2089</v>
      </c>
      <c r="X31" s="1420"/>
      <c r="Y31" s="994"/>
      <c r="Z31" s="887">
        <v>1</v>
      </c>
      <c r="AA31" s="2343">
        <v>0.93</v>
      </c>
      <c r="AB31" s="890" t="s">
        <v>353</v>
      </c>
      <c r="AC31" s="912" t="s">
        <v>2155</v>
      </c>
      <c r="AD31" s="914"/>
      <c r="AE31" s="1607">
        <v>1</v>
      </c>
      <c r="AF31" s="2343">
        <v>1</v>
      </c>
      <c r="AG31" s="1608" t="s">
        <v>353</v>
      </c>
      <c r="AH31" s="912" t="s">
        <v>2155</v>
      </c>
      <c r="AI31" s="914"/>
      <c r="AJ31" s="1728">
        <v>1</v>
      </c>
      <c r="AK31" s="2343">
        <v>1</v>
      </c>
      <c r="AL31" s="1729" t="s">
        <v>353</v>
      </c>
      <c r="AM31" s="912" t="s">
        <v>2155</v>
      </c>
      <c r="AN31" s="914"/>
    </row>
    <row r="32" spans="1:40" s="908" customFormat="1" ht="60" x14ac:dyDescent="0.25">
      <c r="A32" s="2095"/>
      <c r="B32" s="1952"/>
      <c r="C32" s="2344"/>
      <c r="D32" s="2013"/>
      <c r="E32" s="2344"/>
      <c r="F32" s="2344"/>
      <c r="G32" s="2349"/>
      <c r="H32" s="912" t="s">
        <v>1511</v>
      </c>
      <c r="I32" s="1042"/>
      <c r="J32" s="1043"/>
      <c r="K32" s="1043" t="s">
        <v>1397</v>
      </c>
      <c r="L32" s="1043"/>
      <c r="M32" s="1043"/>
      <c r="N32" s="1043" t="s">
        <v>1397</v>
      </c>
      <c r="O32" s="1043"/>
      <c r="P32" s="1043"/>
      <c r="Q32" s="1043" t="s">
        <v>1397</v>
      </c>
      <c r="R32" s="1043"/>
      <c r="S32" s="1043"/>
      <c r="T32" s="1130" t="s">
        <v>1397</v>
      </c>
      <c r="U32" s="993">
        <v>0.8</v>
      </c>
      <c r="V32" s="2343"/>
      <c r="W32" s="2344"/>
      <c r="X32" s="1420"/>
      <c r="Y32" s="994"/>
      <c r="Z32" s="887">
        <v>1</v>
      </c>
      <c r="AA32" s="2343"/>
      <c r="AB32" s="960" t="s">
        <v>2387</v>
      </c>
      <c r="AC32" s="912" t="s">
        <v>2150</v>
      </c>
      <c r="AD32" s="914"/>
      <c r="AE32" s="1607">
        <v>1</v>
      </c>
      <c r="AF32" s="2343"/>
      <c r="AG32" s="1609" t="s">
        <v>2387</v>
      </c>
      <c r="AH32" s="912" t="s">
        <v>2150</v>
      </c>
      <c r="AI32" s="914"/>
      <c r="AJ32" s="1728">
        <v>1</v>
      </c>
      <c r="AK32" s="2343"/>
      <c r="AL32" s="1731" t="s">
        <v>2387</v>
      </c>
      <c r="AM32" s="912" t="s">
        <v>2150</v>
      </c>
      <c r="AN32" s="914"/>
    </row>
    <row r="33" spans="1:40" s="908" customFormat="1" ht="75" x14ac:dyDescent="0.25">
      <c r="A33" s="2095"/>
      <c r="B33" s="1952"/>
      <c r="C33" s="2344"/>
      <c r="D33" s="2013"/>
      <c r="E33" s="2344"/>
      <c r="F33" s="2344"/>
      <c r="G33" s="2350"/>
      <c r="H33" s="755" t="s">
        <v>1512</v>
      </c>
      <c r="I33" s="1057"/>
      <c r="J33" s="1058"/>
      <c r="K33" s="1058" t="s">
        <v>1397</v>
      </c>
      <c r="L33" s="1058"/>
      <c r="M33" s="1058"/>
      <c r="N33" s="1058" t="s">
        <v>1397</v>
      </c>
      <c r="O33" s="1058"/>
      <c r="P33" s="1058"/>
      <c r="Q33" s="1058" t="s">
        <v>1397</v>
      </c>
      <c r="R33" s="1058"/>
      <c r="S33" s="1058"/>
      <c r="T33" s="1196" t="s">
        <v>1397</v>
      </c>
      <c r="U33" s="994" t="s">
        <v>1397</v>
      </c>
      <c r="V33" s="2343"/>
      <c r="W33" s="2344"/>
      <c r="X33" s="966"/>
      <c r="Y33" s="1174"/>
      <c r="Z33" s="887">
        <v>0.8</v>
      </c>
      <c r="AA33" s="2343"/>
      <c r="AB33" s="960" t="s">
        <v>2151</v>
      </c>
      <c r="AC33" s="755" t="s">
        <v>2152</v>
      </c>
      <c r="AD33" s="914"/>
      <c r="AE33" s="1607">
        <v>1</v>
      </c>
      <c r="AF33" s="2343"/>
      <c r="AG33" s="1686" t="s">
        <v>2810</v>
      </c>
      <c r="AH33" s="1685" t="s">
        <v>2152</v>
      </c>
      <c r="AI33" s="914"/>
      <c r="AJ33" s="1728">
        <v>1</v>
      </c>
      <c r="AK33" s="2343"/>
      <c r="AL33" s="1746" t="s">
        <v>2810</v>
      </c>
      <c r="AM33" s="1747" t="s">
        <v>2152</v>
      </c>
      <c r="AN33" s="914"/>
    </row>
    <row r="34" spans="1:40" x14ac:dyDescent="0.25">
      <c r="A34" s="902" t="s">
        <v>2280</v>
      </c>
      <c r="B34" s="903"/>
      <c r="C34" s="891"/>
      <c r="D34" s="892"/>
      <c r="E34" s="891"/>
      <c r="F34" s="891"/>
      <c r="G34" s="891"/>
      <c r="H34" s="1145"/>
      <c r="I34" s="1151"/>
      <c r="J34" s="1143"/>
      <c r="K34" s="969"/>
      <c r="L34" s="969"/>
      <c r="M34" s="969"/>
      <c r="N34" s="969"/>
      <c r="O34" s="969"/>
      <c r="P34" s="969"/>
      <c r="Q34" s="969"/>
      <c r="R34" s="969"/>
      <c r="S34" s="969"/>
      <c r="T34" s="1116"/>
      <c r="X34" s="937"/>
      <c r="Y34" s="938"/>
      <c r="Z34" s="892"/>
      <c r="AA34" s="1100">
        <v>0.87</v>
      </c>
      <c r="AB34" s="960"/>
      <c r="AC34" s="960"/>
      <c r="AD34" s="892"/>
      <c r="AE34" s="892"/>
      <c r="AF34" s="1619">
        <v>0.94</v>
      </c>
      <c r="AG34" s="1609"/>
      <c r="AH34" s="1609"/>
      <c r="AI34" s="892"/>
      <c r="AJ34" s="892"/>
      <c r="AK34" s="1749">
        <v>0.97</v>
      </c>
      <c r="AL34" s="1731"/>
      <c r="AM34" s="1731"/>
      <c r="AN34" s="892"/>
    </row>
    <row r="35" spans="1:40" x14ac:dyDescent="0.25">
      <c r="A35" s="902"/>
      <c r="B35" s="903"/>
      <c r="C35" s="891"/>
      <c r="D35" s="892"/>
      <c r="E35" s="891"/>
      <c r="F35" s="891"/>
      <c r="G35" s="891"/>
      <c r="H35" s="893"/>
      <c r="I35" s="1151"/>
      <c r="J35" s="1143"/>
      <c r="K35" s="1143"/>
      <c r="L35" s="1143"/>
      <c r="M35" s="1143"/>
      <c r="N35" s="1143"/>
      <c r="O35" s="1143"/>
      <c r="P35" s="1143"/>
      <c r="Q35" s="1143"/>
      <c r="R35" s="1143"/>
      <c r="S35" s="1143"/>
      <c r="T35" s="1144"/>
      <c r="U35" s="897" t="s">
        <v>2092</v>
      </c>
      <c r="V35" s="897" t="s">
        <v>1977</v>
      </c>
      <c r="W35" s="1201">
        <v>0.51</v>
      </c>
      <c r="X35" s="937"/>
      <c r="Y35" s="938"/>
      <c r="Z35" s="892"/>
      <c r="AA35" s="1177"/>
      <c r="AB35" s="960"/>
      <c r="AC35" s="960"/>
      <c r="AD35" s="892"/>
      <c r="AE35" s="892"/>
      <c r="AF35" s="1177"/>
      <c r="AG35" s="1609"/>
      <c r="AH35" s="1609"/>
      <c r="AI35" s="892"/>
      <c r="AJ35" s="892"/>
      <c r="AK35" s="1177"/>
      <c r="AL35" s="1731"/>
      <c r="AM35" s="1731"/>
      <c r="AN35" s="892"/>
    </row>
    <row r="36" spans="1:40" x14ac:dyDescent="0.25">
      <c r="U36" s="897"/>
      <c r="V36" s="897" t="s">
        <v>1970</v>
      </c>
      <c r="W36" s="1201">
        <f>(51%*25%)</f>
        <v>0.1275</v>
      </c>
      <c r="AK36" s="1396"/>
      <c r="AL36" s="992"/>
      <c r="AM36" s="992"/>
    </row>
    <row r="37" spans="1:40" x14ac:dyDescent="0.25">
      <c r="Z37" s="1202" t="s">
        <v>2531</v>
      </c>
      <c r="AA37" s="1380" t="s">
        <v>2581</v>
      </c>
      <c r="AE37" s="1202" t="s">
        <v>2531</v>
      </c>
      <c r="AF37" s="1380" t="s">
        <v>2581</v>
      </c>
      <c r="AJ37" s="1202" t="s">
        <v>2531</v>
      </c>
      <c r="AK37" s="1380" t="s">
        <v>3062</v>
      </c>
      <c r="AL37" s="992"/>
      <c r="AM37" s="992"/>
    </row>
    <row r="38" spans="1:40" x14ac:dyDescent="0.25">
      <c r="Z38" s="1202" t="s">
        <v>2426</v>
      </c>
      <c r="AA38" s="1421" t="s">
        <v>2376</v>
      </c>
      <c r="AB38" s="1505">
        <f>(87%*25%)</f>
        <v>0.2175</v>
      </c>
      <c r="AE38" s="1202" t="s">
        <v>2812</v>
      </c>
      <c r="AF38" s="1421" t="s">
        <v>2376</v>
      </c>
      <c r="AG38" s="1505">
        <f>(94%*25%)</f>
        <v>0.23499999999999999</v>
      </c>
      <c r="AJ38" s="1202" t="s">
        <v>3029</v>
      </c>
      <c r="AK38" s="1421" t="s">
        <v>2376</v>
      </c>
      <c r="AL38" s="1505">
        <f>(97%*25%)</f>
        <v>0.24249999999999999</v>
      </c>
      <c r="AM38" s="992"/>
    </row>
    <row r="39" spans="1:40" x14ac:dyDescent="0.25">
      <c r="AA39" s="1387"/>
      <c r="AF39" s="1387"/>
      <c r="AK39" s="1387"/>
      <c r="AL39" s="992"/>
      <c r="AM39" s="992"/>
    </row>
    <row r="40" spans="1:40" x14ac:dyDescent="0.25">
      <c r="Z40" s="39"/>
      <c r="AE40" s="39"/>
      <c r="AJ40" s="39"/>
      <c r="AK40" s="1396"/>
      <c r="AL40" s="992"/>
      <c r="AM40" s="992"/>
    </row>
    <row r="41" spans="1:40" x14ac:dyDescent="0.25">
      <c r="Z41" s="39"/>
      <c r="AE41" s="39"/>
      <c r="AJ41" s="39"/>
      <c r="AK41" s="1396"/>
      <c r="AL41" s="992"/>
      <c r="AM41" s="992"/>
    </row>
  </sheetData>
  <mergeCells count="176">
    <mergeCell ref="AK31:AK33"/>
    <mergeCell ref="AK10:AK12"/>
    <mergeCell ref="AL10:AL12"/>
    <mergeCell ref="AM10:AM12"/>
    <mergeCell ref="AN10:AN12"/>
    <mergeCell ref="AM26:AM30"/>
    <mergeCell ref="AM19:AM21"/>
    <mergeCell ref="AK22:AK25"/>
    <mergeCell ref="AL22:AL25"/>
    <mergeCell ref="AM23:AM24"/>
    <mergeCell ref="AK26:AK30"/>
    <mergeCell ref="AL26:AL30"/>
    <mergeCell ref="AN26:AN30"/>
    <mergeCell ref="AJ11:AJ12"/>
    <mergeCell ref="AK13:AK15"/>
    <mergeCell ref="AN13:AN15"/>
    <mergeCell ref="AL14:AL15"/>
    <mergeCell ref="AJ16:AJ18"/>
    <mergeCell ref="AK16:AK18"/>
    <mergeCell ref="AM16:AM18"/>
    <mergeCell ref="AN16:AN21"/>
    <mergeCell ref="AJ19:AJ21"/>
    <mergeCell ref="AK19:AK21"/>
    <mergeCell ref="AJ1:AN1"/>
    <mergeCell ref="AJ4:AJ6"/>
    <mergeCell ref="AK4:AK6"/>
    <mergeCell ref="AL4:AL6"/>
    <mergeCell ref="AM4:AM6"/>
    <mergeCell ref="AJ7:AJ9"/>
    <mergeCell ref="AK7:AK9"/>
    <mergeCell ref="AL7:AL9"/>
    <mergeCell ref="AM7:AM9"/>
    <mergeCell ref="AN7:AN9"/>
    <mergeCell ref="AE11:AE12"/>
    <mergeCell ref="AF22:AF25"/>
    <mergeCell ref="AG22:AG25"/>
    <mergeCell ref="AH23:AH24"/>
    <mergeCell ref="AF26:AF30"/>
    <mergeCell ref="AG26:AG30"/>
    <mergeCell ref="AE16:AE18"/>
    <mergeCell ref="AF16:AF18"/>
    <mergeCell ref="AH16:AH18"/>
    <mergeCell ref="AE19:AE21"/>
    <mergeCell ref="AF19:AF21"/>
    <mergeCell ref="AH19:AH21"/>
    <mergeCell ref="AI26:AI30"/>
    <mergeCell ref="AF31:AF33"/>
    <mergeCell ref="AF10:AF12"/>
    <mergeCell ref="AG10:AG12"/>
    <mergeCell ref="AH10:AH12"/>
    <mergeCell ref="AI10:AI12"/>
    <mergeCell ref="AF13:AF15"/>
    <mergeCell ref="AI13:AI15"/>
    <mergeCell ref="AG14:AG15"/>
    <mergeCell ref="AI16:AI21"/>
    <mergeCell ref="AE1:AI1"/>
    <mergeCell ref="AE4:AE6"/>
    <mergeCell ref="AF4:AF6"/>
    <mergeCell ref="AG4:AG6"/>
    <mergeCell ref="AH4:AH6"/>
    <mergeCell ref="AE7:AE9"/>
    <mergeCell ref="AF7:AF9"/>
    <mergeCell ref="AG7:AG9"/>
    <mergeCell ref="AH7:AH9"/>
    <mergeCell ref="AI7:AI9"/>
    <mergeCell ref="AC16:AC18"/>
    <mergeCell ref="AC10:AC12"/>
    <mergeCell ref="AB26:AB30"/>
    <mergeCell ref="AA4:AA6"/>
    <mergeCell ref="AA7:AA9"/>
    <mergeCell ref="AA13:AA15"/>
    <mergeCell ref="AB22:AB25"/>
    <mergeCell ref="AD26:AD30"/>
    <mergeCell ref="AD13:AD15"/>
    <mergeCell ref="AB14:AB15"/>
    <mergeCell ref="AC23:AC24"/>
    <mergeCell ref="AC4:AC6"/>
    <mergeCell ref="AC7:AC9"/>
    <mergeCell ref="AB4:AB6"/>
    <mergeCell ref="AB7:AB9"/>
    <mergeCell ref="AC19:AC21"/>
    <mergeCell ref="AA16:AA18"/>
    <mergeCell ref="AB10:AB12"/>
    <mergeCell ref="AD10:AD12"/>
    <mergeCell ref="AD16:AD21"/>
    <mergeCell ref="AA19:AA21"/>
    <mergeCell ref="U1:W1"/>
    <mergeCell ref="I1:T1"/>
    <mergeCell ref="A4:A9"/>
    <mergeCell ref="B4:B9"/>
    <mergeCell ref="C4:C6"/>
    <mergeCell ref="D4:D6"/>
    <mergeCell ref="E4:E6"/>
    <mergeCell ref="A1:H1"/>
    <mergeCell ref="AA22:AA25"/>
    <mergeCell ref="Z1:AD1"/>
    <mergeCell ref="Z4:Z6"/>
    <mergeCell ref="Z7:Z9"/>
    <mergeCell ref="Z16:Z18"/>
    <mergeCell ref="Z19:Z21"/>
    <mergeCell ref="Y7:Y9"/>
    <mergeCell ref="F4:F6"/>
    <mergeCell ref="G4:G6"/>
    <mergeCell ref="C7:C9"/>
    <mergeCell ref="D7:D9"/>
    <mergeCell ref="E7:E9"/>
    <mergeCell ref="F7:F9"/>
    <mergeCell ref="G7:G9"/>
    <mergeCell ref="U4:U6"/>
    <mergeCell ref="U7:U9"/>
    <mergeCell ref="D26:D30"/>
    <mergeCell ref="E26:E30"/>
    <mergeCell ref="F26:F30"/>
    <mergeCell ref="F10:F12"/>
    <mergeCell ref="Y10:Y12"/>
    <mergeCell ref="Y26:Y30"/>
    <mergeCell ref="A10:A33"/>
    <mergeCell ref="B10:B12"/>
    <mergeCell ref="C10:C12"/>
    <mergeCell ref="D10:D12"/>
    <mergeCell ref="E10:E12"/>
    <mergeCell ref="C13:C15"/>
    <mergeCell ref="D13:D15"/>
    <mergeCell ref="C31:C33"/>
    <mergeCell ref="D31:D33"/>
    <mergeCell ref="E31:E33"/>
    <mergeCell ref="B13:B15"/>
    <mergeCell ref="E19:E21"/>
    <mergeCell ref="C16:C21"/>
    <mergeCell ref="E22:E25"/>
    <mergeCell ref="B31:B33"/>
    <mergeCell ref="F13:F15"/>
    <mergeCell ref="F16:F18"/>
    <mergeCell ref="F22:F25"/>
    <mergeCell ref="B19:B21"/>
    <mergeCell ref="D19:D21"/>
    <mergeCell ref="B22:B25"/>
    <mergeCell ref="C22:C25"/>
    <mergeCell ref="D22:D25"/>
    <mergeCell ref="E13:E15"/>
    <mergeCell ref="B16:B18"/>
    <mergeCell ref="D16:D18"/>
    <mergeCell ref="E16:E18"/>
    <mergeCell ref="B26:B30"/>
    <mergeCell ref="C26:C30"/>
    <mergeCell ref="U11:U12"/>
    <mergeCell ref="Z10:Z12"/>
    <mergeCell ref="AA10:AA12"/>
    <mergeCell ref="W31:W33"/>
    <mergeCell ref="W19:W21"/>
    <mergeCell ref="V22:V25"/>
    <mergeCell ref="W22:W25"/>
    <mergeCell ref="G10:G12"/>
    <mergeCell ref="G13:G15"/>
    <mergeCell ref="G16:G21"/>
    <mergeCell ref="G22:G25"/>
    <mergeCell ref="G26:G30"/>
    <mergeCell ref="G31:G33"/>
    <mergeCell ref="AA26:AA30"/>
    <mergeCell ref="Y22:Y25"/>
    <mergeCell ref="Y16:Y18"/>
    <mergeCell ref="Y19:Y21"/>
    <mergeCell ref="Y13:Y15"/>
    <mergeCell ref="AA31:AA33"/>
    <mergeCell ref="V26:V30"/>
    <mergeCell ref="W26:W30"/>
    <mergeCell ref="F19:F21"/>
    <mergeCell ref="W10:W12"/>
    <mergeCell ref="V13:V15"/>
    <mergeCell ref="W13:W15"/>
    <mergeCell ref="V16:V18"/>
    <mergeCell ref="W16:W18"/>
    <mergeCell ref="V10:V12"/>
    <mergeCell ref="V19:V21"/>
    <mergeCell ref="V31:V33"/>
    <mergeCell ref="F31:F33"/>
  </mergeCells>
  <pageMargins left="0.70866141732283472" right="0.70866141732283472" top="0.74803149606299213" bottom="0.74803149606299213" header="0.31496062992125984" footer="0.31496062992125984"/>
  <pageSetup scale="46"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8"/>
    <pageSetUpPr fitToPage="1"/>
  </sheetPr>
  <dimension ref="A1:AN17"/>
  <sheetViews>
    <sheetView topLeftCell="C1" zoomScale="85" zoomScaleNormal="85" zoomScaleSheetLayoutView="85" workbookViewId="0">
      <pane xSplit="6" ySplit="3" topLeftCell="I7" activePane="bottomRight" state="frozen"/>
      <selection activeCell="F26" sqref="F26:F30"/>
      <selection pane="topRight" activeCell="F26" sqref="F26:F30"/>
      <selection pane="bottomLeft" activeCell="F26" sqref="F26:F30"/>
      <selection pane="bottomRight" activeCell="AK16" sqref="AK16"/>
    </sheetView>
  </sheetViews>
  <sheetFormatPr baseColWidth="10" defaultColWidth="11.5703125" defaultRowHeight="15" x14ac:dyDescent="0.25"/>
  <cols>
    <col min="1" max="1" width="15.5703125" style="876" customWidth="1"/>
    <col min="2" max="2" width="17.28515625" style="847" customWidth="1"/>
    <col min="3" max="3" width="19.5703125" style="802" customWidth="1"/>
    <col min="4" max="4" width="15" style="750" hidden="1" customWidth="1"/>
    <col min="5" max="5" width="18.42578125" style="802" hidden="1" customWidth="1"/>
    <col min="6" max="6" width="18.5703125" style="802" hidden="1" customWidth="1"/>
    <col min="7" max="7" width="14.5703125" style="802" hidden="1" customWidth="1"/>
    <col min="8" max="8" width="42" style="803" hidden="1" customWidth="1"/>
    <col min="9" max="9" width="7.28515625" style="750" hidden="1" customWidth="1"/>
    <col min="10" max="10" width="9.7109375" style="750" hidden="1" customWidth="1"/>
    <col min="11" max="11" width="7.85546875" style="750" hidden="1" customWidth="1"/>
    <col min="12" max="12" width="6.5703125" style="750" hidden="1" customWidth="1"/>
    <col min="13" max="13" width="6.7109375" style="750" hidden="1" customWidth="1"/>
    <col min="14" max="14" width="6.5703125" style="750" hidden="1" customWidth="1"/>
    <col min="15" max="15" width="6.42578125" style="750" hidden="1" customWidth="1"/>
    <col min="16" max="16" width="9" style="750" hidden="1" customWidth="1"/>
    <col min="17" max="17" width="12.85546875" style="750" hidden="1" customWidth="1"/>
    <col min="18" max="18" width="9.85546875" style="750" hidden="1" customWidth="1"/>
    <col min="19" max="19" width="12" style="750" hidden="1" customWidth="1"/>
    <col min="20" max="20" width="11.140625" style="750" hidden="1" customWidth="1"/>
    <col min="21" max="21" width="23.5703125" style="750" hidden="1" customWidth="1"/>
    <col min="22" max="22" width="19.85546875" style="750" hidden="1" customWidth="1"/>
    <col min="23" max="24" width="11.5703125" style="750" hidden="1" customWidth="1"/>
    <col min="25" max="25" width="71.7109375" style="750" hidden="1" customWidth="1"/>
    <col min="26" max="26" width="15.5703125" style="750" hidden="1" customWidth="1"/>
    <col min="27" max="27" width="18.7109375" style="750" hidden="1" customWidth="1"/>
    <col min="28" max="28" width="32.140625" style="750" hidden="1" customWidth="1"/>
    <col min="29" max="29" width="36.5703125" style="750" hidden="1" customWidth="1"/>
    <col min="30" max="30" width="36.5703125" style="750" customWidth="1"/>
    <col min="31" max="31" width="15.5703125" style="750" customWidth="1"/>
    <col min="32" max="32" width="18.7109375" style="750" customWidth="1"/>
    <col min="33" max="33" width="32.140625" style="750" customWidth="1"/>
    <col min="34" max="34" width="57.28515625" style="750" customWidth="1"/>
    <col min="35" max="35" width="36.5703125" style="750" customWidth="1"/>
    <col min="36" max="36" width="24.5703125" style="750" customWidth="1"/>
    <col min="37" max="38" width="11.5703125" style="750"/>
    <col min="39" max="39" width="43.28515625" style="750" customWidth="1"/>
    <col min="40" max="40" width="19" style="750" customWidth="1"/>
    <col min="41" max="16384" width="11.5703125" style="750"/>
  </cols>
  <sheetData>
    <row r="1" spans="1:40" ht="61.5" customHeight="1" x14ac:dyDescent="0.25">
      <c r="A1" s="2409" t="s">
        <v>2565</v>
      </c>
      <c r="B1" s="2410"/>
      <c r="C1" s="2410"/>
      <c r="D1" s="2410"/>
      <c r="E1" s="2410"/>
      <c r="F1" s="2410"/>
      <c r="G1" s="2410"/>
      <c r="H1" s="2410"/>
      <c r="I1" s="2406" t="s">
        <v>1351</v>
      </c>
      <c r="J1" s="2407"/>
      <c r="K1" s="2407"/>
      <c r="L1" s="2407"/>
      <c r="M1" s="2407"/>
      <c r="N1" s="2407"/>
      <c r="O1" s="2407"/>
      <c r="P1" s="2407"/>
      <c r="Q1" s="2407"/>
      <c r="R1" s="2407"/>
      <c r="S1" s="2407"/>
      <c r="T1" s="2408"/>
      <c r="U1" s="939"/>
      <c r="W1" s="2173" t="s">
        <v>1970</v>
      </c>
      <c r="X1" s="2172"/>
      <c r="Y1" s="2172"/>
      <c r="Z1" s="2173" t="s">
        <v>2138</v>
      </c>
      <c r="AA1" s="2172"/>
      <c r="AB1" s="2172"/>
      <c r="AC1" s="2172"/>
      <c r="AD1" s="1695" t="s">
        <v>2111</v>
      </c>
      <c r="AE1" s="2173" t="s">
        <v>2631</v>
      </c>
      <c r="AF1" s="2172"/>
      <c r="AG1" s="2172"/>
      <c r="AH1" s="2172"/>
      <c r="AI1" s="2172"/>
      <c r="AJ1" s="2173" t="s">
        <v>2872</v>
      </c>
      <c r="AK1" s="2172"/>
      <c r="AL1" s="2172"/>
      <c r="AM1" s="2172"/>
      <c r="AN1" s="2172"/>
    </row>
    <row r="2" spans="1:40" ht="7.5" customHeight="1" x14ac:dyDescent="0.25">
      <c r="A2" s="1432"/>
      <c r="B2" s="1433"/>
      <c r="C2" s="1434"/>
      <c r="D2" s="1434"/>
      <c r="E2" s="1434"/>
      <c r="F2" s="1434"/>
      <c r="G2" s="1435"/>
      <c r="H2" s="1430"/>
      <c r="I2" s="1431"/>
      <c r="J2" s="1431"/>
      <c r="K2" s="1431"/>
      <c r="L2" s="1431"/>
      <c r="M2" s="1431"/>
      <c r="N2" s="1431"/>
      <c r="O2" s="1431"/>
      <c r="P2" s="1431"/>
      <c r="Q2" s="1431"/>
      <c r="R2" s="1431"/>
      <c r="S2" s="1431"/>
      <c r="T2" s="794"/>
      <c r="U2" s="1434"/>
      <c r="V2" s="1431"/>
    </row>
    <row r="3" spans="1:40" s="850" customFormat="1" ht="51.75" customHeight="1"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c r="V3" s="779"/>
      <c r="W3" s="779" t="s">
        <v>2017</v>
      </c>
      <c r="X3" s="779" t="s">
        <v>1927</v>
      </c>
      <c r="Y3" s="779" t="s">
        <v>347</v>
      </c>
      <c r="Z3" s="811" t="s">
        <v>1926</v>
      </c>
      <c r="AA3" s="811" t="s">
        <v>1927</v>
      </c>
      <c r="AB3" s="811" t="s">
        <v>2126</v>
      </c>
      <c r="AC3" s="811" t="s">
        <v>1928</v>
      </c>
      <c r="AD3" s="811"/>
      <c r="AE3" s="1634" t="s">
        <v>1926</v>
      </c>
      <c r="AF3" s="1634" t="s">
        <v>1927</v>
      </c>
      <c r="AG3" s="1634" t="s">
        <v>2126</v>
      </c>
      <c r="AH3" s="1634" t="s">
        <v>1925</v>
      </c>
      <c r="AI3" s="1634" t="s">
        <v>1928</v>
      </c>
      <c r="AJ3" s="1634" t="s">
        <v>1926</v>
      </c>
      <c r="AK3" s="1634" t="s">
        <v>1927</v>
      </c>
      <c r="AL3" s="1634" t="s">
        <v>2126</v>
      </c>
      <c r="AM3" s="1634" t="s">
        <v>1925</v>
      </c>
      <c r="AN3" s="1634" t="s">
        <v>1928</v>
      </c>
    </row>
    <row r="4" spans="1:40" s="851" customFormat="1" ht="89.25" customHeight="1" x14ac:dyDescent="0.25">
      <c r="A4" s="2095" t="s">
        <v>1483</v>
      </c>
      <c r="B4" s="1952" t="s">
        <v>374</v>
      </c>
      <c r="C4" s="1952" t="s">
        <v>1770</v>
      </c>
      <c r="D4" s="2013">
        <v>0.6</v>
      </c>
      <c r="E4" s="1952" t="s">
        <v>1769</v>
      </c>
      <c r="F4" s="1952" t="s">
        <v>1771</v>
      </c>
      <c r="G4" s="1952" t="s">
        <v>1092</v>
      </c>
      <c r="H4" s="1192" t="s">
        <v>2389</v>
      </c>
      <c r="I4" s="1450"/>
      <c r="J4" s="1317"/>
      <c r="K4" s="1317" t="s">
        <v>4</v>
      </c>
      <c r="L4" s="1317"/>
      <c r="M4" s="1317"/>
      <c r="N4" s="1317"/>
      <c r="O4" s="1317"/>
      <c r="P4" s="1317"/>
      <c r="Q4" s="1317"/>
      <c r="R4" s="1317"/>
      <c r="S4" s="1317"/>
      <c r="T4" s="1309" t="s">
        <v>1397</v>
      </c>
      <c r="U4" s="1436" t="s">
        <v>1096</v>
      </c>
      <c r="V4" s="2402" t="s">
        <v>249</v>
      </c>
      <c r="W4" s="1437">
        <v>0.4</v>
      </c>
      <c r="X4" s="2396">
        <v>0.4</v>
      </c>
      <c r="Y4" s="1438" t="s">
        <v>2446</v>
      </c>
      <c r="Z4" s="1179"/>
      <c r="AA4" s="2117" t="s">
        <v>353</v>
      </c>
      <c r="AB4" s="1960" t="s">
        <v>2582</v>
      </c>
      <c r="AC4" s="1960" t="s">
        <v>2586</v>
      </c>
      <c r="AD4" s="1696" t="s">
        <v>2823</v>
      </c>
      <c r="AE4" s="1179">
        <v>1</v>
      </c>
      <c r="AF4" s="2117">
        <v>1</v>
      </c>
      <c r="AG4" s="1960" t="s">
        <v>2836</v>
      </c>
      <c r="AH4" s="1697" t="s">
        <v>2827</v>
      </c>
      <c r="AI4" s="1960" t="s">
        <v>2586</v>
      </c>
      <c r="AJ4" s="1179">
        <v>1</v>
      </c>
      <c r="AK4" s="2117">
        <v>1</v>
      </c>
      <c r="AL4" s="1960" t="s">
        <v>2836</v>
      </c>
      <c r="AM4" s="1825" t="s">
        <v>2827</v>
      </c>
      <c r="AN4" s="1960" t="s">
        <v>2586</v>
      </c>
    </row>
    <row r="5" spans="1:40" s="851" customFormat="1" ht="72" customHeight="1" x14ac:dyDescent="0.25">
      <c r="A5" s="2095"/>
      <c r="B5" s="1952"/>
      <c r="C5" s="1952"/>
      <c r="D5" s="2013"/>
      <c r="E5" s="1952"/>
      <c r="F5" s="1952"/>
      <c r="G5" s="1952"/>
      <c r="H5" s="1192" t="s">
        <v>1620</v>
      </c>
      <c r="I5" s="1451"/>
      <c r="J5" s="1312"/>
      <c r="K5" s="1312"/>
      <c r="L5" s="1312" t="s">
        <v>1397</v>
      </c>
      <c r="M5" s="1312"/>
      <c r="N5" s="1312"/>
      <c r="O5" s="1312" t="s">
        <v>1397</v>
      </c>
      <c r="P5" s="1312"/>
      <c r="Q5" s="1312"/>
      <c r="R5" s="1312" t="s">
        <v>1397</v>
      </c>
      <c r="S5" s="1312"/>
      <c r="T5" s="1452" t="s">
        <v>1397</v>
      </c>
      <c r="U5" s="1436" t="s">
        <v>1097</v>
      </c>
      <c r="V5" s="2402"/>
      <c r="W5" s="1439" t="s">
        <v>1906</v>
      </c>
      <c r="X5" s="2397"/>
      <c r="Y5" s="1462"/>
      <c r="Z5" s="1179"/>
      <c r="AA5" s="2149"/>
      <c r="AB5" s="1961"/>
      <c r="AC5" s="1961"/>
      <c r="AD5" s="1697" t="s">
        <v>2824</v>
      </c>
      <c r="AE5" s="1179">
        <v>1</v>
      </c>
      <c r="AF5" s="2149"/>
      <c r="AG5" s="1961"/>
      <c r="AH5" s="1624" t="s">
        <v>2828</v>
      </c>
      <c r="AI5" s="1961"/>
      <c r="AJ5" s="1179">
        <v>1</v>
      </c>
      <c r="AK5" s="2149"/>
      <c r="AL5" s="1961"/>
      <c r="AM5" s="1825" t="s">
        <v>2828</v>
      </c>
      <c r="AN5" s="1961"/>
    </row>
    <row r="6" spans="1:40" s="851" customFormat="1" ht="53.25" customHeight="1" x14ac:dyDescent="0.25">
      <c r="A6" s="2095"/>
      <c r="B6" s="1952"/>
      <c r="C6" s="1952"/>
      <c r="D6" s="2013"/>
      <c r="E6" s="1952"/>
      <c r="F6" s="1952"/>
      <c r="G6" s="1952"/>
      <c r="H6" s="1454" t="s">
        <v>1095</v>
      </c>
      <c r="I6" s="1455"/>
      <c r="J6" s="1320"/>
      <c r="K6" s="1320"/>
      <c r="L6" s="1320" t="s">
        <v>1397</v>
      </c>
      <c r="M6" s="1320"/>
      <c r="N6" s="1320"/>
      <c r="O6" s="1320" t="s">
        <v>1397</v>
      </c>
      <c r="P6" s="1320"/>
      <c r="Q6" s="1320"/>
      <c r="R6" s="1320" t="s">
        <v>1397</v>
      </c>
      <c r="S6" s="1320"/>
      <c r="T6" s="1456" t="s">
        <v>1397</v>
      </c>
      <c r="U6" s="1436"/>
      <c r="V6" s="2402"/>
      <c r="W6" s="1578"/>
      <c r="X6" s="2397"/>
      <c r="Y6" s="1579"/>
      <c r="Z6" s="1179"/>
      <c r="AA6" s="2149"/>
      <c r="AB6" s="1961"/>
      <c r="AC6" s="1961"/>
      <c r="AD6" s="1697" t="s">
        <v>2825</v>
      </c>
      <c r="AE6" s="1179" t="s">
        <v>353</v>
      </c>
      <c r="AF6" s="2149"/>
      <c r="AG6" s="1961"/>
      <c r="AH6" s="1624" t="s">
        <v>2829</v>
      </c>
      <c r="AI6" s="1961"/>
      <c r="AJ6" s="1824">
        <v>1</v>
      </c>
      <c r="AK6" s="2149"/>
      <c r="AL6" s="1961"/>
      <c r="AM6" s="1825" t="s">
        <v>3033</v>
      </c>
      <c r="AN6" s="1961"/>
    </row>
    <row r="7" spans="1:40" s="851" customFormat="1" ht="53.25" customHeight="1" x14ac:dyDescent="0.25">
      <c r="A7" s="2095"/>
      <c r="B7" s="1952"/>
      <c r="C7" s="1952"/>
      <c r="D7" s="2013"/>
      <c r="E7" s="1952"/>
      <c r="F7" s="1952"/>
      <c r="G7" s="1952"/>
      <c r="U7" s="1436" t="s">
        <v>1097</v>
      </c>
      <c r="V7" s="2402"/>
      <c r="W7" s="1440" t="s">
        <v>1906</v>
      </c>
      <c r="X7" s="2398"/>
      <c r="Y7" s="1463"/>
      <c r="Z7" s="1179"/>
      <c r="AA7" s="2118"/>
      <c r="AB7" s="1962"/>
      <c r="AC7" s="1962"/>
      <c r="AD7" s="1698" t="s">
        <v>2826</v>
      </c>
      <c r="AE7" s="1179" t="s">
        <v>353</v>
      </c>
      <c r="AF7" s="2118"/>
      <c r="AG7" s="1962"/>
      <c r="AH7" s="1697" t="s">
        <v>2829</v>
      </c>
      <c r="AI7" s="1962"/>
      <c r="AJ7" s="1824">
        <v>1</v>
      </c>
      <c r="AK7" s="2118"/>
      <c r="AL7" s="1962"/>
      <c r="AM7" s="1825" t="s">
        <v>3034</v>
      </c>
      <c r="AN7" s="1962"/>
    </row>
    <row r="8" spans="1:40" s="851" customFormat="1" ht="58.5" customHeight="1" x14ac:dyDescent="0.25">
      <c r="A8" s="2095"/>
      <c r="B8" s="1952" t="s">
        <v>374</v>
      </c>
      <c r="C8" s="1952" t="s">
        <v>1773</v>
      </c>
      <c r="D8" s="1952" t="s">
        <v>1772</v>
      </c>
      <c r="E8" s="1952" t="s">
        <v>1100</v>
      </c>
      <c r="F8" s="1952" t="s">
        <v>1101</v>
      </c>
      <c r="G8" s="1952" t="s">
        <v>1102</v>
      </c>
      <c r="H8" s="1192" t="s">
        <v>1104</v>
      </c>
      <c r="I8" s="1450"/>
      <c r="J8" s="1317"/>
      <c r="K8" s="1317"/>
      <c r="L8" s="1317" t="s">
        <v>4</v>
      </c>
      <c r="M8" s="1317"/>
      <c r="N8" s="1317"/>
      <c r="O8" s="1317"/>
      <c r="P8" s="1317" t="s">
        <v>1397</v>
      </c>
      <c r="Q8" s="1317"/>
      <c r="R8" s="1317"/>
      <c r="S8" s="1317"/>
      <c r="T8" s="1457"/>
      <c r="U8" s="1446">
        <v>43131</v>
      </c>
      <c r="V8" s="2403" t="s">
        <v>1103</v>
      </c>
      <c r="W8" s="1441" t="s">
        <v>353</v>
      </c>
      <c r="X8" s="2399">
        <v>0.3</v>
      </c>
      <c r="Y8" s="1438" t="s">
        <v>2447</v>
      </c>
      <c r="Z8" s="1179"/>
      <c r="AA8" s="2117">
        <v>0.25</v>
      </c>
      <c r="AB8" s="852"/>
      <c r="AC8" s="1960" t="s">
        <v>2603</v>
      </c>
      <c r="AD8" s="1696" t="s">
        <v>2830</v>
      </c>
      <c r="AE8" s="1179" t="s">
        <v>353</v>
      </c>
      <c r="AF8" s="2117">
        <v>1</v>
      </c>
      <c r="AG8" s="1700"/>
      <c r="AH8" s="1527" t="s">
        <v>2837</v>
      </c>
      <c r="AI8" s="1960" t="s">
        <v>2869</v>
      </c>
      <c r="AJ8" s="1179" t="s">
        <v>353</v>
      </c>
      <c r="AK8" s="2106">
        <v>0.99</v>
      </c>
      <c r="AL8" s="1830"/>
      <c r="AM8" s="789" t="s">
        <v>3042</v>
      </c>
      <c r="AN8" s="2124" t="s">
        <v>2869</v>
      </c>
    </row>
    <row r="9" spans="1:40" s="851" customFormat="1" ht="76.5" customHeight="1" x14ac:dyDescent="0.25">
      <c r="A9" s="2095"/>
      <c r="B9" s="1952"/>
      <c r="C9" s="1952"/>
      <c r="D9" s="1952"/>
      <c r="E9" s="1952"/>
      <c r="F9" s="1952"/>
      <c r="G9" s="1952"/>
      <c r="H9" s="1192" t="s">
        <v>1539</v>
      </c>
      <c r="I9" s="1451"/>
      <c r="J9" s="1312"/>
      <c r="K9" s="1312"/>
      <c r="L9" s="1312"/>
      <c r="M9" s="1312" t="s">
        <v>4</v>
      </c>
      <c r="N9" s="1312"/>
      <c r="O9" s="1312"/>
      <c r="P9" s="1312" t="s">
        <v>1397</v>
      </c>
      <c r="Q9" s="1312"/>
      <c r="R9" s="1312"/>
      <c r="S9" s="1312"/>
      <c r="T9" s="1318"/>
      <c r="U9" s="1447">
        <v>43159</v>
      </c>
      <c r="V9" s="2404"/>
      <c r="W9" s="1442">
        <v>0.3</v>
      </c>
      <c r="X9" s="2400"/>
      <c r="Y9" s="1443" t="s">
        <v>2448</v>
      </c>
      <c r="Z9" s="1179"/>
      <c r="AA9" s="2149"/>
      <c r="AB9" s="852"/>
      <c r="AC9" s="1961"/>
      <c r="AD9" s="1697" t="s">
        <v>2835</v>
      </c>
      <c r="AE9" s="1179" t="s">
        <v>353</v>
      </c>
      <c r="AF9" s="2149"/>
      <c r="AG9" s="1700"/>
      <c r="AH9" s="1527" t="s">
        <v>2837</v>
      </c>
      <c r="AI9" s="1961"/>
      <c r="AJ9" s="1179">
        <v>0.98</v>
      </c>
      <c r="AK9" s="2108"/>
      <c r="AL9" s="1830"/>
      <c r="AM9" s="789" t="s">
        <v>3042</v>
      </c>
      <c r="AN9" s="2258"/>
    </row>
    <row r="10" spans="1:40" s="851" customFormat="1" ht="87.75" customHeight="1" x14ac:dyDescent="0.25">
      <c r="A10" s="2095"/>
      <c r="B10" s="1952"/>
      <c r="C10" s="1952"/>
      <c r="D10" s="1952"/>
      <c r="E10" s="1952"/>
      <c r="F10" s="1952"/>
      <c r="G10" s="1952"/>
      <c r="H10" s="1192" t="s">
        <v>1106</v>
      </c>
      <c r="I10" s="1451"/>
      <c r="J10" s="1312"/>
      <c r="K10" s="1312"/>
      <c r="L10" s="1312" t="s">
        <v>4</v>
      </c>
      <c r="M10" s="1312" t="s">
        <v>4</v>
      </c>
      <c r="N10" s="1312" t="s">
        <v>4</v>
      </c>
      <c r="O10" s="1312"/>
      <c r="P10" s="1312" t="s">
        <v>1397</v>
      </c>
      <c r="Q10" s="1312"/>
      <c r="R10" s="1312"/>
      <c r="S10" s="1312"/>
      <c r="T10" s="1318"/>
      <c r="U10" s="1448" t="s">
        <v>1109</v>
      </c>
      <c r="V10" s="2404"/>
      <c r="W10" s="1444" t="s">
        <v>353</v>
      </c>
      <c r="X10" s="2400"/>
      <c r="Y10" s="1443" t="s">
        <v>2124</v>
      </c>
      <c r="Z10" s="1179"/>
      <c r="AA10" s="2149"/>
      <c r="AB10" s="852"/>
      <c r="AC10" s="1961"/>
      <c r="AD10" s="1697" t="s">
        <v>2831</v>
      </c>
      <c r="AE10" s="1179">
        <v>1</v>
      </c>
      <c r="AF10" s="2149"/>
      <c r="AG10" s="1722" t="s">
        <v>2845</v>
      </c>
      <c r="AH10" s="1527" t="s">
        <v>2834</v>
      </c>
      <c r="AI10" s="1961"/>
      <c r="AJ10" s="1179">
        <v>1</v>
      </c>
      <c r="AK10" s="2108"/>
      <c r="AL10" s="1832" t="s">
        <v>2845</v>
      </c>
      <c r="AM10" s="789" t="s">
        <v>2834</v>
      </c>
      <c r="AN10" s="2258"/>
    </row>
    <row r="11" spans="1:40" s="851" customFormat="1" ht="48" customHeight="1" x14ac:dyDescent="0.25">
      <c r="A11" s="2095"/>
      <c r="B11" s="1952"/>
      <c r="C11" s="1952"/>
      <c r="D11" s="1952"/>
      <c r="E11" s="1952"/>
      <c r="F11" s="1952"/>
      <c r="G11" s="1952"/>
      <c r="H11" s="1192" t="s">
        <v>1107</v>
      </c>
      <c r="I11" s="1451"/>
      <c r="J11" s="1312"/>
      <c r="K11" s="1312"/>
      <c r="L11" s="1312"/>
      <c r="M11" s="1312"/>
      <c r="N11" s="1312" t="s">
        <v>1397</v>
      </c>
      <c r="O11" s="1312"/>
      <c r="P11" s="1312" t="s">
        <v>1397</v>
      </c>
      <c r="Q11" s="1312"/>
      <c r="R11" s="1312"/>
      <c r="S11" s="1312"/>
      <c r="T11" s="1318"/>
      <c r="U11" s="1447">
        <v>43281</v>
      </c>
      <c r="V11" s="2404"/>
      <c r="W11" s="1444" t="s">
        <v>1906</v>
      </c>
      <c r="X11" s="2400"/>
      <c r="Y11" s="1462"/>
      <c r="Z11" s="1179"/>
      <c r="AA11" s="2149"/>
      <c r="AB11" s="852"/>
      <c r="AC11" s="1961"/>
      <c r="AD11" s="1697" t="s">
        <v>2832</v>
      </c>
      <c r="AE11" s="1179">
        <v>1</v>
      </c>
      <c r="AF11" s="2149"/>
      <c r="AG11" s="759" t="s">
        <v>2838</v>
      </c>
      <c r="AH11" s="1527" t="s">
        <v>2833</v>
      </c>
      <c r="AI11" s="1961"/>
      <c r="AJ11" s="1179">
        <v>1</v>
      </c>
      <c r="AK11" s="2108"/>
      <c r="AL11" s="789" t="s">
        <v>2838</v>
      </c>
      <c r="AM11" s="789" t="s">
        <v>2833</v>
      </c>
      <c r="AN11" s="2258"/>
    </row>
    <row r="12" spans="1:40" s="851" customFormat="1" ht="33.75" customHeight="1" x14ac:dyDescent="0.25">
      <c r="A12" s="2095"/>
      <c r="B12" s="1952"/>
      <c r="C12" s="1952"/>
      <c r="D12" s="1952"/>
      <c r="E12" s="1952"/>
      <c r="F12" s="1952"/>
      <c r="G12" s="1952"/>
      <c r="H12" s="1192" t="s">
        <v>1108</v>
      </c>
      <c r="I12" s="1453"/>
      <c r="J12" s="1324"/>
      <c r="K12" s="1324"/>
      <c r="L12" s="1324"/>
      <c r="M12" s="1324"/>
      <c r="N12" s="1324"/>
      <c r="O12" s="1324" t="s">
        <v>1397</v>
      </c>
      <c r="P12" s="1324" t="s">
        <v>1397</v>
      </c>
      <c r="Q12" s="1324"/>
      <c r="R12" s="1324"/>
      <c r="S12" s="1324"/>
      <c r="T12" s="1325"/>
      <c r="U12" s="1449" t="s">
        <v>1110</v>
      </c>
      <c r="V12" s="2405"/>
      <c r="W12" s="1445" t="s">
        <v>1906</v>
      </c>
      <c r="X12" s="2401"/>
      <c r="Y12" s="1463"/>
      <c r="Z12" s="1179"/>
      <c r="AA12" s="2118"/>
      <c r="AB12" s="852"/>
      <c r="AC12" s="1962"/>
      <c r="AD12" s="1698"/>
      <c r="AE12" s="1179"/>
      <c r="AF12" s="2118"/>
      <c r="AG12" s="852"/>
      <c r="AH12" s="1638"/>
      <c r="AI12" s="1962"/>
      <c r="AJ12" s="1179"/>
      <c r="AK12" s="2107"/>
      <c r="AL12" s="786"/>
      <c r="AM12" s="1833"/>
      <c r="AN12" s="2259"/>
    </row>
    <row r="13" spans="1:40" ht="86.25" customHeight="1" x14ac:dyDescent="0.25">
      <c r="A13" s="875" t="s">
        <v>2280</v>
      </c>
      <c r="B13" s="841"/>
      <c r="C13" s="799"/>
      <c r="D13" s="798"/>
      <c r="E13" s="799"/>
      <c r="F13" s="799"/>
      <c r="G13" s="799"/>
      <c r="H13" s="800"/>
      <c r="I13" s="753"/>
      <c r="J13" s="754"/>
      <c r="K13" s="754"/>
      <c r="L13" s="754"/>
      <c r="M13" s="754"/>
      <c r="N13" s="754"/>
      <c r="O13" s="754"/>
      <c r="P13" s="754"/>
      <c r="Q13" s="754"/>
      <c r="R13" s="754"/>
      <c r="S13" s="1458"/>
      <c r="T13" s="1459"/>
      <c r="U13" s="1459"/>
      <c r="V13" s="1459"/>
      <c r="W13" s="1459"/>
      <c r="X13" s="1460">
        <v>0.35</v>
      </c>
      <c r="Y13" s="1459"/>
      <c r="Z13" s="798"/>
      <c r="AA13" s="798"/>
      <c r="AB13" s="798"/>
      <c r="AC13" s="798"/>
      <c r="AD13" s="798"/>
      <c r="AE13" s="798"/>
      <c r="AF13" s="798"/>
      <c r="AG13" s="798"/>
      <c r="AH13" s="798"/>
      <c r="AI13" s="798"/>
      <c r="AJ13" s="798"/>
      <c r="AK13" s="798"/>
      <c r="AL13" s="798"/>
      <c r="AM13" s="798"/>
      <c r="AN13" s="798"/>
    </row>
    <row r="14" spans="1:40" x14ac:dyDescent="0.25">
      <c r="A14" s="875"/>
      <c r="B14" s="841"/>
      <c r="C14" s="799"/>
      <c r="D14" s="798"/>
      <c r="E14" s="799"/>
      <c r="F14" s="799"/>
      <c r="G14" s="799"/>
      <c r="H14" s="800"/>
      <c r="I14" s="753"/>
      <c r="J14" s="754"/>
      <c r="K14" s="754"/>
      <c r="L14" s="754"/>
      <c r="M14" s="754"/>
      <c r="N14" s="754"/>
      <c r="O14" s="754"/>
      <c r="P14" s="754"/>
      <c r="Q14" s="754"/>
      <c r="R14" s="754"/>
      <c r="S14" s="1458"/>
      <c r="T14" s="1459"/>
      <c r="U14" s="1459"/>
      <c r="V14" s="1459"/>
      <c r="W14" s="1459"/>
      <c r="X14" s="1461">
        <f>(35%*25%)</f>
        <v>8.7499999999999994E-2</v>
      </c>
      <c r="Y14" s="1459"/>
      <c r="Z14" s="798"/>
      <c r="AA14" s="798"/>
      <c r="AB14" s="798"/>
      <c r="AC14" s="798"/>
      <c r="AD14" s="798"/>
      <c r="AE14" s="798"/>
      <c r="AF14" s="798"/>
      <c r="AG14" s="798"/>
      <c r="AH14" s="798"/>
      <c r="AI14" s="798"/>
      <c r="AJ14" s="798"/>
      <c r="AK14" s="798"/>
      <c r="AL14" s="798"/>
      <c r="AM14" s="798"/>
      <c r="AN14" s="798"/>
    </row>
    <row r="15" spans="1:40" x14ac:dyDescent="0.25">
      <c r="I15" s="802"/>
      <c r="J15" s="802"/>
      <c r="K15" s="802"/>
      <c r="L15" s="802"/>
      <c r="M15" s="802"/>
      <c r="N15" s="802"/>
      <c r="O15" s="802"/>
      <c r="P15" s="802"/>
      <c r="Q15" s="802"/>
      <c r="R15" s="802"/>
      <c r="S15" s="802"/>
      <c r="T15" s="802"/>
    </row>
    <row r="16" spans="1:40" x14ac:dyDescent="0.25">
      <c r="Z16" s="1202" t="s">
        <v>2398</v>
      </c>
      <c r="AA16" s="1380" t="s">
        <v>2396</v>
      </c>
      <c r="AB16" s="770"/>
      <c r="AE16" s="1202" t="s">
        <v>2398</v>
      </c>
      <c r="AF16" s="1380" t="s">
        <v>2396</v>
      </c>
      <c r="AG16" s="770"/>
      <c r="AH16" s="770"/>
      <c r="AJ16" s="1202" t="s">
        <v>2398</v>
      </c>
      <c r="AK16" s="1380" t="s">
        <v>3031</v>
      </c>
      <c r="AL16" s="770"/>
      <c r="AM16" s="770"/>
    </row>
    <row r="17" spans="26:39" x14ac:dyDescent="0.25">
      <c r="Z17" s="1202" t="s">
        <v>2422</v>
      </c>
      <c r="AA17" s="1421" t="s">
        <v>2376</v>
      </c>
      <c r="AB17" s="1506">
        <f>(100%*25%)</f>
        <v>0.25</v>
      </c>
      <c r="AE17" s="1202" t="s">
        <v>2422</v>
      </c>
      <c r="AF17" s="1421" t="s">
        <v>2846</v>
      </c>
      <c r="AG17" s="1702">
        <v>0.25</v>
      </c>
      <c r="AH17" s="1640"/>
      <c r="AJ17" s="1202" t="s">
        <v>2422</v>
      </c>
      <c r="AK17" s="1421" t="s">
        <v>2846</v>
      </c>
      <c r="AL17" s="1702">
        <v>0.25</v>
      </c>
      <c r="AM17" s="1640"/>
    </row>
  </sheetData>
  <mergeCells count="38">
    <mergeCell ref="AJ1:AN1"/>
    <mergeCell ref="AK4:AK7"/>
    <mergeCell ref="AL4:AL7"/>
    <mergeCell ref="AN4:AN7"/>
    <mergeCell ref="AK8:AK12"/>
    <mergeCell ref="AN8:AN12"/>
    <mergeCell ref="AE1:AI1"/>
    <mergeCell ref="AF4:AF7"/>
    <mergeCell ref="AG4:AG7"/>
    <mergeCell ref="AI4:AI7"/>
    <mergeCell ref="AF8:AF12"/>
    <mergeCell ref="AI8:AI12"/>
    <mergeCell ref="D8:D12"/>
    <mergeCell ref="E8:E12"/>
    <mergeCell ref="F8:F12"/>
    <mergeCell ref="G8:G12"/>
    <mergeCell ref="AC8:AC12"/>
    <mergeCell ref="B8:B12"/>
    <mergeCell ref="Z1:AC1"/>
    <mergeCell ref="V8:V12"/>
    <mergeCell ref="F4:F7"/>
    <mergeCell ref="W1:Y1"/>
    <mergeCell ref="I1:T1"/>
    <mergeCell ref="A1:H1"/>
    <mergeCell ref="A4:A12"/>
    <mergeCell ref="B4:B7"/>
    <mergeCell ref="C4:C7"/>
    <mergeCell ref="D4:D7"/>
    <mergeCell ref="AB4:AB7"/>
    <mergeCell ref="AC4:AC7"/>
    <mergeCell ref="AA4:AA7"/>
    <mergeCell ref="AA8:AA12"/>
    <mergeCell ref="C8:C12"/>
    <mergeCell ref="E4:E7"/>
    <mergeCell ref="G4:G7"/>
    <mergeCell ref="X4:X7"/>
    <mergeCell ref="X8:X12"/>
    <mergeCell ref="V4:V7"/>
  </mergeCells>
  <pageMargins left="0.70866141732283472" right="0.70866141732283472" top="0.74803149606299213" bottom="0.74803149606299213" header="0.31496062992125984" footer="0.31496062992125984"/>
  <pageSetup scale="2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8"/>
    <pageSetUpPr fitToPage="1"/>
  </sheetPr>
  <dimension ref="A1:AN16"/>
  <sheetViews>
    <sheetView topLeftCell="C1" zoomScale="90" zoomScaleNormal="90" zoomScaleSheetLayoutView="85" workbookViewId="0">
      <pane xSplit="6" ySplit="3" topLeftCell="AJ10" activePane="bottomRight" state="frozen"/>
      <selection activeCell="F26" sqref="F26:F30"/>
      <selection pane="topRight" activeCell="F26" sqref="F26:F30"/>
      <selection pane="bottomLeft" activeCell="F26" sqref="F26:F30"/>
      <selection pane="bottomRight" activeCell="AL16" sqref="AL16"/>
    </sheetView>
  </sheetViews>
  <sheetFormatPr baseColWidth="10" defaultColWidth="11.5703125" defaultRowHeight="15" x14ac:dyDescent="0.25"/>
  <cols>
    <col min="1" max="1" width="16.28515625" style="904" customWidth="1"/>
    <col min="2" max="2" width="16.5703125" style="905" customWidth="1"/>
    <col min="3" max="3" width="19.85546875" style="894" customWidth="1"/>
    <col min="4" max="4" width="12" style="886" customWidth="1"/>
    <col min="5" max="5" width="16" style="894" customWidth="1"/>
    <col min="6" max="6" width="17.140625" style="894" customWidth="1"/>
    <col min="7" max="7" width="14.7109375" style="894" customWidth="1"/>
    <col min="8" max="8" width="40.28515625" style="895" customWidth="1"/>
    <col min="9" max="9" width="7" style="886" bestFit="1" customWidth="1"/>
    <col min="10" max="10" width="8.85546875"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11.5703125" style="886" hidden="1" customWidth="1"/>
    <col min="22" max="22" width="16.85546875" style="886" hidden="1" customWidth="1"/>
    <col min="23" max="23" width="24.140625" style="886" hidden="1" customWidth="1"/>
    <col min="24" max="24" width="23.5703125" style="886" hidden="1" customWidth="1"/>
    <col min="25" max="25" width="19.85546875" style="886" hidden="1" customWidth="1"/>
    <col min="26" max="26" width="17.28515625" style="886" hidden="1" customWidth="1"/>
    <col min="27" max="27" width="18.7109375" style="886" hidden="1" customWidth="1"/>
    <col min="28" max="28" width="49.7109375" style="886" hidden="1" customWidth="1"/>
    <col min="29" max="29" width="51" style="886" hidden="1" customWidth="1"/>
    <col min="30" max="30" width="27.28515625" style="886" hidden="1" customWidth="1"/>
    <col min="31" max="31" width="17.28515625" style="886" bestFit="1" customWidth="1"/>
    <col min="32" max="32" width="18.7109375" style="886" customWidth="1"/>
    <col min="33" max="33" width="49.7109375" style="886" customWidth="1"/>
    <col min="34" max="34" width="51" style="886" customWidth="1"/>
    <col min="35" max="35" width="27.28515625" style="886" customWidth="1"/>
    <col min="36" max="38" width="11.5703125" style="886"/>
    <col min="39" max="39" width="34" style="886" customWidth="1"/>
    <col min="40" max="40" width="25" style="886" customWidth="1"/>
    <col min="41" max="16384" width="11.5703125" style="886"/>
  </cols>
  <sheetData>
    <row r="1" spans="1:40" ht="61.5" customHeight="1" x14ac:dyDescent="0.25">
      <c r="A1" s="2094" t="s">
        <v>2566</v>
      </c>
      <c r="B1" s="2094"/>
      <c r="C1" s="2094"/>
      <c r="D1" s="2094"/>
      <c r="E1" s="2094"/>
      <c r="F1" s="2094"/>
      <c r="G1" s="2094"/>
      <c r="H1" s="2094"/>
      <c r="I1" s="2173" t="s">
        <v>1351</v>
      </c>
      <c r="J1" s="2172"/>
      <c r="K1" s="2172"/>
      <c r="L1" s="2172"/>
      <c r="M1" s="2172"/>
      <c r="N1" s="2172"/>
      <c r="O1" s="2172"/>
      <c r="P1" s="2172"/>
      <c r="Q1" s="2172"/>
      <c r="R1" s="2172"/>
      <c r="S1" s="2172"/>
      <c r="T1" s="2268"/>
      <c r="U1" s="2173" t="s">
        <v>1970</v>
      </c>
      <c r="V1" s="2172"/>
      <c r="W1" s="2172"/>
      <c r="X1" s="939"/>
      <c r="Z1" s="2173" t="s">
        <v>2138</v>
      </c>
      <c r="AA1" s="2172"/>
      <c r="AB1" s="2172"/>
      <c r="AC1" s="2172"/>
      <c r="AD1" s="2172"/>
      <c r="AE1" s="2173" t="s">
        <v>2631</v>
      </c>
      <c r="AF1" s="2172"/>
      <c r="AG1" s="2172"/>
      <c r="AH1" s="2172"/>
      <c r="AI1" s="2172"/>
      <c r="AJ1" s="2173" t="s">
        <v>2872</v>
      </c>
      <c r="AK1" s="2172"/>
      <c r="AL1" s="2172"/>
      <c r="AM1" s="2172"/>
      <c r="AN1" s="2172"/>
    </row>
    <row r="2" spans="1:40" ht="8.25" customHeight="1" x14ac:dyDescent="0.25">
      <c r="A2" s="900"/>
      <c r="B2" s="894"/>
      <c r="C2" s="807"/>
      <c r="D2" s="807"/>
      <c r="E2" s="807"/>
      <c r="F2" s="807"/>
      <c r="G2" s="808"/>
      <c r="H2" s="793"/>
      <c r="X2" s="807"/>
    </row>
    <row r="3" spans="1:40" s="906" customFormat="1" ht="51.75" customHeight="1" x14ac:dyDescent="0.25">
      <c r="A3" s="777" t="s">
        <v>1221</v>
      </c>
      <c r="B3" s="777" t="s">
        <v>47</v>
      </c>
      <c r="C3" s="777" t="s">
        <v>1461</v>
      </c>
      <c r="D3" s="777" t="s">
        <v>1</v>
      </c>
      <c r="E3" s="777" t="s">
        <v>51</v>
      </c>
      <c r="F3" s="777" t="s">
        <v>2216</v>
      </c>
      <c r="G3" s="777" t="s">
        <v>3</v>
      </c>
      <c r="H3" s="809"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347</v>
      </c>
      <c r="X3" s="2419" t="s">
        <v>1928</v>
      </c>
      <c r="Y3" s="2420"/>
      <c r="Z3" s="811" t="s">
        <v>1926</v>
      </c>
      <c r="AA3" s="811" t="s">
        <v>1927</v>
      </c>
      <c r="AB3" s="777" t="s">
        <v>2126</v>
      </c>
      <c r="AC3" s="777" t="s">
        <v>2159</v>
      </c>
      <c r="AD3" s="777" t="s">
        <v>1928</v>
      </c>
      <c r="AE3" s="779" t="s">
        <v>1926</v>
      </c>
      <c r="AF3" s="779" t="s">
        <v>1927</v>
      </c>
      <c r="AG3" s="779" t="s">
        <v>2126</v>
      </c>
      <c r="AH3" s="779" t="s">
        <v>2159</v>
      </c>
      <c r="AI3" s="779" t="s">
        <v>1928</v>
      </c>
      <c r="AJ3" s="779" t="s">
        <v>1926</v>
      </c>
      <c r="AK3" s="779" t="s">
        <v>1927</v>
      </c>
      <c r="AL3" s="779" t="s">
        <v>2126</v>
      </c>
      <c r="AM3" s="779" t="s">
        <v>2159</v>
      </c>
      <c r="AN3" s="779" t="s">
        <v>1928</v>
      </c>
    </row>
    <row r="4" spans="1:40" s="908" customFormat="1" ht="255" x14ac:dyDescent="0.25">
      <c r="A4" s="1951" t="s">
        <v>1479</v>
      </c>
      <c r="B4" s="1952" t="s">
        <v>374</v>
      </c>
      <c r="C4" s="2344" t="s">
        <v>1600</v>
      </c>
      <c r="D4" s="2344" t="s">
        <v>1601</v>
      </c>
      <c r="E4" s="2344" t="s">
        <v>1765</v>
      </c>
      <c r="F4" s="2344" t="s">
        <v>1519</v>
      </c>
      <c r="G4" s="2344" t="s">
        <v>2390</v>
      </c>
      <c r="H4" s="1166" t="s">
        <v>1520</v>
      </c>
      <c r="I4" s="1039"/>
      <c r="J4" s="1040" t="s">
        <v>1397</v>
      </c>
      <c r="K4" s="1040"/>
      <c r="L4" s="1040" t="s">
        <v>1397</v>
      </c>
      <c r="M4" s="1040"/>
      <c r="N4" s="1040"/>
      <c r="O4" s="1040"/>
      <c r="P4" s="1040"/>
      <c r="Q4" s="1040"/>
      <c r="R4" s="1040"/>
      <c r="S4" s="1040"/>
      <c r="T4" s="1129"/>
      <c r="U4" s="1464">
        <v>0.3</v>
      </c>
      <c r="V4" s="2131">
        <v>0.35</v>
      </c>
      <c r="W4" s="1167"/>
      <c r="X4" s="1465">
        <v>43159</v>
      </c>
      <c r="Y4" s="2416" t="s">
        <v>311</v>
      </c>
      <c r="Z4" s="1100">
        <v>1</v>
      </c>
      <c r="AA4" s="2131">
        <v>0.95</v>
      </c>
      <c r="AB4" s="889" t="s">
        <v>2223</v>
      </c>
      <c r="AC4" s="1186" t="s">
        <v>2224</v>
      </c>
      <c r="AD4" s="914"/>
      <c r="AE4" s="1619">
        <v>1</v>
      </c>
      <c r="AF4" s="2131">
        <v>0.95</v>
      </c>
      <c r="AG4" s="889" t="s">
        <v>2223</v>
      </c>
      <c r="AH4" s="1186" t="s">
        <v>2224</v>
      </c>
      <c r="AI4" s="914"/>
      <c r="AJ4" s="1749">
        <v>1</v>
      </c>
      <c r="AK4" s="2131">
        <v>1</v>
      </c>
      <c r="AL4" s="889" t="s">
        <v>2223</v>
      </c>
      <c r="AM4" s="1186" t="s">
        <v>2224</v>
      </c>
      <c r="AN4" s="914"/>
    </row>
    <row r="5" spans="1:40" s="908" customFormat="1" ht="90" x14ac:dyDescent="0.25">
      <c r="A5" s="1951"/>
      <c r="B5" s="1952"/>
      <c r="C5" s="2344"/>
      <c r="D5" s="2344"/>
      <c r="E5" s="2344"/>
      <c r="F5" s="2344"/>
      <c r="G5" s="2344"/>
      <c r="H5" s="1166" t="s">
        <v>1521</v>
      </c>
      <c r="I5" s="1042"/>
      <c r="J5" s="1043"/>
      <c r="K5" s="1043" t="s">
        <v>1397</v>
      </c>
      <c r="L5" s="1043" t="s">
        <v>1397</v>
      </c>
      <c r="M5" s="1043"/>
      <c r="N5" s="1043"/>
      <c r="O5" s="1043"/>
      <c r="P5" s="1043"/>
      <c r="Q5" s="1043"/>
      <c r="R5" s="1043"/>
      <c r="S5" s="1043"/>
      <c r="T5" s="1130"/>
      <c r="U5" s="1466">
        <v>0.4</v>
      </c>
      <c r="V5" s="2132"/>
      <c r="W5" s="1069"/>
      <c r="X5" s="1465">
        <v>43190</v>
      </c>
      <c r="Y5" s="2416"/>
      <c r="Z5" s="1100">
        <v>1</v>
      </c>
      <c r="AA5" s="2132"/>
      <c r="AB5" s="889" t="s">
        <v>2225</v>
      </c>
      <c r="AC5" s="941" t="s">
        <v>2217</v>
      </c>
      <c r="AD5" s="914"/>
      <c r="AE5" s="1619">
        <v>1</v>
      </c>
      <c r="AF5" s="2132"/>
      <c r="AG5" s="889" t="s">
        <v>2225</v>
      </c>
      <c r="AH5" s="941" t="s">
        <v>2217</v>
      </c>
      <c r="AI5" s="914"/>
      <c r="AJ5" s="1749">
        <v>1</v>
      </c>
      <c r="AK5" s="2132"/>
      <c r="AL5" s="889" t="s">
        <v>2225</v>
      </c>
      <c r="AM5" s="941" t="s">
        <v>2217</v>
      </c>
      <c r="AN5" s="914"/>
    </row>
    <row r="6" spans="1:40" s="908" customFormat="1" ht="90" x14ac:dyDescent="0.25">
      <c r="A6" s="1951"/>
      <c r="B6" s="1952"/>
      <c r="C6" s="2344"/>
      <c r="D6" s="2344"/>
      <c r="E6" s="2344"/>
      <c r="F6" s="2344"/>
      <c r="G6" s="2344"/>
      <c r="H6" s="1467" t="s">
        <v>314</v>
      </c>
      <c r="I6" s="1042"/>
      <c r="J6" s="1043"/>
      <c r="K6" s="1043" t="s">
        <v>1397</v>
      </c>
      <c r="L6" s="1043" t="s">
        <v>1397</v>
      </c>
      <c r="M6" s="1043"/>
      <c r="N6" s="1043"/>
      <c r="O6" s="1043"/>
      <c r="P6" s="1043"/>
      <c r="Q6" s="1043"/>
      <c r="R6" s="1043"/>
      <c r="S6" s="1043"/>
      <c r="T6" s="1130"/>
      <c r="U6" s="977"/>
      <c r="V6" s="2132"/>
      <c r="W6" s="1069"/>
      <c r="X6" s="1465">
        <v>43190</v>
      </c>
      <c r="Y6" s="2416"/>
      <c r="Z6" s="1100">
        <v>1</v>
      </c>
      <c r="AA6" s="2132"/>
      <c r="AB6" s="889" t="s">
        <v>2225</v>
      </c>
      <c r="AC6" s="941" t="s">
        <v>2218</v>
      </c>
      <c r="AD6" s="914"/>
      <c r="AE6" s="1619">
        <v>1</v>
      </c>
      <c r="AF6" s="2132"/>
      <c r="AG6" s="889" t="s">
        <v>2225</v>
      </c>
      <c r="AH6" s="941" t="s">
        <v>2218</v>
      </c>
      <c r="AI6" s="914"/>
      <c r="AJ6" s="1749">
        <v>1</v>
      </c>
      <c r="AK6" s="2132"/>
      <c r="AL6" s="889" t="s">
        <v>2225</v>
      </c>
      <c r="AM6" s="941" t="s">
        <v>2218</v>
      </c>
      <c r="AN6" s="914"/>
    </row>
    <row r="7" spans="1:40" s="908" customFormat="1" ht="164.25" customHeight="1" x14ac:dyDescent="0.25">
      <c r="A7" s="1951"/>
      <c r="B7" s="1952"/>
      <c r="C7" s="2344"/>
      <c r="D7" s="2344"/>
      <c r="E7" s="2344"/>
      <c r="F7" s="2344"/>
      <c r="G7" s="2344"/>
      <c r="H7" s="1166" t="s">
        <v>1602</v>
      </c>
      <c r="I7" s="1057"/>
      <c r="J7" s="1058"/>
      <c r="K7" s="1058"/>
      <c r="L7" s="1058" t="s">
        <v>1397</v>
      </c>
      <c r="M7" s="1058"/>
      <c r="N7" s="1058"/>
      <c r="O7" s="982" t="s">
        <v>1397</v>
      </c>
      <c r="P7" s="1058"/>
      <c r="Q7" s="1058"/>
      <c r="R7" s="1058"/>
      <c r="S7" s="1058"/>
      <c r="T7" s="1196"/>
      <c r="U7" s="978"/>
      <c r="V7" s="2133"/>
      <c r="W7" s="1169"/>
      <c r="X7" s="1465">
        <v>43220</v>
      </c>
      <c r="Y7" s="2416"/>
      <c r="Z7" s="1100">
        <v>0.8</v>
      </c>
      <c r="AA7" s="2133"/>
      <c r="AB7" s="889"/>
      <c r="AC7" s="941" t="s">
        <v>2226</v>
      </c>
      <c r="AD7" s="889" t="s">
        <v>2227</v>
      </c>
      <c r="AE7" s="1619">
        <v>0.8</v>
      </c>
      <c r="AF7" s="2133"/>
      <c r="AG7" s="759" t="s">
        <v>2843</v>
      </c>
      <c r="AH7" s="941" t="s">
        <v>2226</v>
      </c>
      <c r="AI7" s="759" t="s">
        <v>2844</v>
      </c>
      <c r="AJ7" s="1749">
        <v>1</v>
      </c>
      <c r="AK7" s="2133"/>
      <c r="AL7" s="759"/>
      <c r="AM7" s="789" t="s">
        <v>3030</v>
      </c>
      <c r="AN7" s="759"/>
    </row>
    <row r="8" spans="1:40" s="908" customFormat="1" ht="45" customHeight="1" x14ac:dyDescent="0.25">
      <c r="A8" s="1951"/>
      <c r="B8" s="1952" t="s">
        <v>374</v>
      </c>
      <c r="C8" s="2344" t="s">
        <v>1735</v>
      </c>
      <c r="D8" s="2411" t="s">
        <v>1603</v>
      </c>
      <c r="E8" s="2411" t="s">
        <v>1766</v>
      </c>
      <c r="F8" s="2411" t="s">
        <v>318</v>
      </c>
      <c r="G8" s="2344" t="s">
        <v>2390</v>
      </c>
      <c r="H8" s="1180" t="s">
        <v>1604</v>
      </c>
      <c r="I8" s="1470"/>
      <c r="J8" s="1061" t="s">
        <v>1397</v>
      </c>
      <c r="K8" s="1061"/>
      <c r="L8" s="1061"/>
      <c r="M8" s="1061"/>
      <c r="N8" s="1061"/>
      <c r="O8" s="1061"/>
      <c r="P8" s="1061"/>
      <c r="Q8" s="1061"/>
      <c r="R8" s="1061"/>
      <c r="S8" s="1061"/>
      <c r="T8" s="1471" t="s">
        <v>1397</v>
      </c>
      <c r="U8" s="1468">
        <v>1</v>
      </c>
      <c r="V8" s="2131">
        <v>0.7</v>
      </c>
      <c r="W8" s="1469"/>
      <c r="X8" s="1465">
        <v>43159</v>
      </c>
      <c r="Y8" s="2417" t="s">
        <v>319</v>
      </c>
      <c r="Z8" s="1100">
        <v>1</v>
      </c>
      <c r="AA8" s="2131">
        <v>1</v>
      </c>
      <c r="AB8" s="2104" t="s">
        <v>2219</v>
      </c>
      <c r="AC8" s="2413" t="s">
        <v>2220</v>
      </c>
      <c r="AD8" s="914"/>
      <c r="AE8" s="1619">
        <v>1</v>
      </c>
      <c r="AF8" s="2131">
        <v>1</v>
      </c>
      <c r="AG8" s="2104" t="s">
        <v>2219</v>
      </c>
      <c r="AH8" s="2413" t="s">
        <v>2220</v>
      </c>
      <c r="AI8" s="914"/>
      <c r="AJ8" s="1749">
        <v>1</v>
      </c>
      <c r="AK8" s="2131">
        <v>1</v>
      </c>
      <c r="AL8" s="2104" t="s">
        <v>3032</v>
      </c>
      <c r="AM8" s="2413" t="s">
        <v>2220</v>
      </c>
      <c r="AN8" s="914"/>
    </row>
    <row r="9" spans="1:40" s="908" customFormat="1" ht="61.5" customHeight="1" x14ac:dyDescent="0.25">
      <c r="A9" s="1951"/>
      <c r="B9" s="1952"/>
      <c r="C9" s="2344"/>
      <c r="D9" s="2411"/>
      <c r="E9" s="2411"/>
      <c r="F9" s="2411"/>
      <c r="G9" s="2344"/>
      <c r="H9" s="1166" t="s">
        <v>1719</v>
      </c>
      <c r="I9" s="1042"/>
      <c r="J9" s="1043"/>
      <c r="K9" s="1043" t="s">
        <v>1397</v>
      </c>
      <c r="L9" s="1043"/>
      <c r="M9" s="1043"/>
      <c r="N9" s="1043"/>
      <c r="O9" s="1043"/>
      <c r="P9" s="1043"/>
      <c r="Q9" s="1043"/>
      <c r="R9" s="1043"/>
      <c r="S9" s="1043"/>
      <c r="T9" s="1130" t="s">
        <v>1397</v>
      </c>
      <c r="U9" s="1466">
        <v>0.4</v>
      </c>
      <c r="V9" s="2132"/>
      <c r="W9" s="1069"/>
      <c r="X9" s="1465">
        <v>43190</v>
      </c>
      <c r="Y9" s="2418"/>
      <c r="Z9" s="1100">
        <v>1</v>
      </c>
      <c r="AA9" s="2132"/>
      <c r="AB9" s="2152"/>
      <c r="AC9" s="2414"/>
      <c r="AD9" s="914"/>
      <c r="AE9" s="1619">
        <v>1</v>
      </c>
      <c r="AF9" s="2132"/>
      <c r="AG9" s="2152"/>
      <c r="AH9" s="2414"/>
      <c r="AI9" s="914"/>
      <c r="AJ9" s="1749">
        <v>1</v>
      </c>
      <c r="AK9" s="2132"/>
      <c r="AL9" s="2152"/>
      <c r="AM9" s="2414"/>
      <c r="AN9" s="914"/>
    </row>
    <row r="10" spans="1:40" s="908" customFormat="1" ht="44.25" customHeight="1" x14ac:dyDescent="0.25">
      <c r="A10" s="1951"/>
      <c r="B10" s="1952"/>
      <c r="C10" s="2344"/>
      <c r="D10" s="2411"/>
      <c r="E10" s="2411"/>
      <c r="F10" s="2411"/>
      <c r="G10" s="2344"/>
      <c r="H10" s="1166" t="s">
        <v>1605</v>
      </c>
      <c r="I10" s="1042"/>
      <c r="J10" s="1043"/>
      <c r="K10" s="1043"/>
      <c r="L10" s="1043" t="s">
        <v>1397</v>
      </c>
      <c r="M10" s="1043"/>
      <c r="N10" s="1043"/>
      <c r="O10" s="1043"/>
      <c r="P10" s="1043"/>
      <c r="Q10" s="1043"/>
      <c r="R10" s="1043"/>
      <c r="S10" s="1043"/>
      <c r="T10" s="1130" t="s">
        <v>1397</v>
      </c>
      <c r="U10" s="977"/>
      <c r="V10" s="2132"/>
      <c r="W10" s="1069"/>
      <c r="X10" s="1465">
        <v>43220</v>
      </c>
      <c r="Y10" s="2418"/>
      <c r="Z10" s="1100">
        <v>1</v>
      </c>
      <c r="AA10" s="2132"/>
      <c r="AB10" s="2152"/>
      <c r="AC10" s="941" t="s">
        <v>2221</v>
      </c>
      <c r="AD10" s="914"/>
      <c r="AE10" s="1619">
        <v>1</v>
      </c>
      <c r="AF10" s="2132"/>
      <c r="AG10" s="2152"/>
      <c r="AH10" s="941" t="s">
        <v>2221</v>
      </c>
      <c r="AI10" s="914"/>
      <c r="AJ10" s="1749">
        <v>1</v>
      </c>
      <c r="AK10" s="2132"/>
      <c r="AL10" s="2152"/>
      <c r="AM10" s="941" t="s">
        <v>2221</v>
      </c>
      <c r="AN10" s="914"/>
    </row>
    <row r="11" spans="1:40" s="908" customFormat="1" ht="40.5" customHeight="1" x14ac:dyDescent="0.25">
      <c r="A11" s="2415"/>
      <c r="B11" s="2124"/>
      <c r="C11" s="2393"/>
      <c r="D11" s="2412"/>
      <c r="E11" s="2412"/>
      <c r="F11" s="2412"/>
      <c r="G11" s="2393"/>
      <c r="H11" s="1473" t="s">
        <v>1606</v>
      </c>
      <c r="I11" s="1120"/>
      <c r="J11" s="1121" t="s">
        <v>1397</v>
      </c>
      <c r="K11" s="1121"/>
      <c r="L11" s="1121"/>
      <c r="M11" s="1121"/>
      <c r="N11" s="1121"/>
      <c r="O11" s="1121"/>
      <c r="P11" s="1121"/>
      <c r="Q11" s="1121"/>
      <c r="R11" s="1121"/>
      <c r="S11" s="1121"/>
      <c r="T11" s="1131" t="s">
        <v>1397</v>
      </c>
      <c r="U11" s="1074"/>
      <c r="V11" s="2132"/>
      <c r="W11" s="1474"/>
      <c r="X11" s="1475">
        <v>43159</v>
      </c>
      <c r="Y11" s="2418"/>
      <c r="Z11" s="1476">
        <v>1</v>
      </c>
      <c r="AA11" s="2132"/>
      <c r="AB11" s="2152"/>
      <c r="AC11" s="1198" t="s">
        <v>2222</v>
      </c>
      <c r="AD11" s="1477"/>
      <c r="AE11" s="1612">
        <v>1</v>
      </c>
      <c r="AF11" s="2132"/>
      <c r="AG11" s="2152"/>
      <c r="AH11" s="1198" t="s">
        <v>2222</v>
      </c>
      <c r="AI11" s="1477"/>
      <c r="AJ11" s="1732">
        <v>1</v>
      </c>
      <c r="AK11" s="2132"/>
      <c r="AL11" s="2152"/>
      <c r="AM11" s="1823" t="s">
        <v>3037</v>
      </c>
      <c r="AN11" s="1477"/>
    </row>
    <row r="12" spans="1:40" x14ac:dyDescent="0.25">
      <c r="A12" s="902" t="s">
        <v>2280</v>
      </c>
      <c r="B12" s="903"/>
      <c r="C12" s="891"/>
      <c r="D12" s="892"/>
      <c r="E12" s="891"/>
      <c r="F12" s="891"/>
      <c r="G12" s="891"/>
      <c r="H12" s="893"/>
      <c r="I12" s="902"/>
      <c r="J12" s="902"/>
      <c r="K12" s="902"/>
      <c r="L12" s="902"/>
      <c r="M12" s="902"/>
      <c r="N12" s="902"/>
      <c r="O12" s="902"/>
      <c r="P12" s="902"/>
      <c r="Q12" s="902"/>
      <c r="R12" s="902"/>
      <c r="S12" s="902"/>
      <c r="T12" s="902"/>
      <c r="U12" s="902"/>
      <c r="V12" s="1013">
        <v>0.53</v>
      </c>
      <c r="W12" s="902"/>
      <c r="X12" s="892"/>
      <c r="Y12" s="892"/>
      <c r="Z12" s="892"/>
      <c r="AA12" s="907">
        <v>0.98</v>
      </c>
      <c r="AB12" s="892"/>
      <c r="AC12" s="892"/>
      <c r="AD12" s="892"/>
      <c r="AE12" s="892"/>
      <c r="AF12" s="907">
        <v>0.98</v>
      </c>
      <c r="AG12" s="892"/>
      <c r="AH12" s="892"/>
      <c r="AI12" s="892"/>
      <c r="AJ12" s="892"/>
      <c r="AK12" s="907">
        <v>1</v>
      </c>
      <c r="AL12" s="892"/>
      <c r="AM12" s="892"/>
      <c r="AN12" s="892"/>
    </row>
    <row r="13" spans="1:40" x14ac:dyDescent="0.25">
      <c r="A13" s="902"/>
      <c r="B13" s="903"/>
      <c r="C13" s="891"/>
      <c r="D13" s="892"/>
      <c r="E13" s="891"/>
      <c r="F13" s="891"/>
      <c r="G13" s="891"/>
      <c r="H13" s="893"/>
      <c r="I13" s="902"/>
      <c r="J13" s="902"/>
      <c r="K13" s="902"/>
      <c r="L13" s="902"/>
      <c r="M13" s="902"/>
      <c r="N13" s="902"/>
      <c r="O13" s="902"/>
      <c r="P13" s="902"/>
      <c r="Q13" s="902"/>
      <c r="R13" s="902"/>
      <c r="S13" s="902"/>
      <c r="T13" s="902"/>
      <c r="U13" s="902"/>
      <c r="V13" s="1478">
        <f>(53%*25%)</f>
        <v>0.13250000000000001</v>
      </c>
      <c r="W13" s="902"/>
      <c r="X13" s="892"/>
      <c r="Y13" s="892"/>
      <c r="Z13" s="892"/>
      <c r="AA13" s="892"/>
      <c r="AB13" s="892"/>
      <c r="AC13" s="892"/>
      <c r="AD13" s="892"/>
      <c r="AE13" s="892"/>
      <c r="AF13" s="892"/>
      <c r="AG13" s="892"/>
      <c r="AH13" s="892"/>
      <c r="AI13" s="892"/>
      <c r="AJ13" s="892"/>
      <c r="AK13" s="892"/>
      <c r="AL13" s="892"/>
      <c r="AM13" s="892"/>
      <c r="AN13" s="892"/>
    </row>
    <row r="15" spans="1:40" ht="45" x14ac:dyDescent="0.25">
      <c r="Z15" s="1172" t="s">
        <v>2398</v>
      </c>
      <c r="AA15" s="1172" t="s">
        <v>2396</v>
      </c>
      <c r="AE15" s="1172" t="s">
        <v>2398</v>
      </c>
      <c r="AF15" s="1172" t="s">
        <v>2396</v>
      </c>
      <c r="AJ15" s="1172" t="s">
        <v>2398</v>
      </c>
      <c r="AK15" s="1172" t="s">
        <v>3031</v>
      </c>
    </row>
    <row r="16" spans="1:40" x14ac:dyDescent="0.25">
      <c r="Z16" s="1141" t="s">
        <v>2427</v>
      </c>
      <c r="AA16" s="1173" t="s">
        <v>2376</v>
      </c>
      <c r="AB16" s="1472">
        <f>(98%*25%)</f>
        <v>0.245</v>
      </c>
      <c r="AE16" s="1141" t="s">
        <v>2427</v>
      </c>
      <c r="AF16" s="1173" t="s">
        <v>2376</v>
      </c>
      <c r="AG16" s="1472">
        <f>(98%*25%)</f>
        <v>0.245</v>
      </c>
      <c r="AJ16" s="1141" t="s">
        <v>2428</v>
      </c>
      <c r="AK16" s="1173" t="s">
        <v>2376</v>
      </c>
      <c r="AL16" s="1472">
        <f>(100%*25%)</f>
        <v>0.25</v>
      </c>
    </row>
  </sheetData>
  <mergeCells count="36">
    <mergeCell ref="AE1:AI1"/>
    <mergeCell ref="AF4:AF7"/>
    <mergeCell ref="AF8:AF11"/>
    <mergeCell ref="AG8:AG11"/>
    <mergeCell ref="AH8:AH9"/>
    <mergeCell ref="AJ1:AN1"/>
    <mergeCell ref="AK4:AK7"/>
    <mergeCell ref="AK8:AK11"/>
    <mergeCell ref="AL8:AL11"/>
    <mergeCell ref="AM8:AM9"/>
    <mergeCell ref="V4:V7"/>
    <mergeCell ref="V8:V11"/>
    <mergeCell ref="Z1:AD1"/>
    <mergeCell ref="X3:Y3"/>
    <mergeCell ref="AB8:AB11"/>
    <mergeCell ref="G4:G7"/>
    <mergeCell ref="AC8:AC9"/>
    <mergeCell ref="I1:T1"/>
    <mergeCell ref="G8:G11"/>
    <mergeCell ref="F4:F7"/>
    <mergeCell ref="A1:H1"/>
    <mergeCell ref="A4:A11"/>
    <mergeCell ref="B4:B7"/>
    <mergeCell ref="C4:C7"/>
    <mergeCell ref="B8:B11"/>
    <mergeCell ref="C8:C11"/>
    <mergeCell ref="U1:W1"/>
    <mergeCell ref="AA4:AA7"/>
    <mergeCell ref="AA8:AA11"/>
    <mergeCell ref="Y4:Y7"/>
    <mergeCell ref="Y8:Y11"/>
    <mergeCell ref="D8:D11"/>
    <mergeCell ref="E8:E11"/>
    <mergeCell ref="F8:F11"/>
    <mergeCell ref="D4:D7"/>
    <mergeCell ref="E4:E7"/>
  </mergeCells>
  <pageMargins left="0.70866141732283472" right="0.70866141732283472" top="0.74803149606299213" bottom="0.74803149606299213" header="0.31496062992125984" footer="0.31496062992125984"/>
  <pageSetup scale="2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8"/>
    <pageSetUpPr fitToPage="1"/>
  </sheetPr>
  <dimension ref="A1:AN16"/>
  <sheetViews>
    <sheetView topLeftCell="C1" zoomScale="90" zoomScaleNormal="90" zoomScaleSheetLayoutView="85" workbookViewId="0">
      <pane xSplit="6" ySplit="3" topLeftCell="AJ8" activePane="bottomRight" state="frozen"/>
      <selection activeCell="F26" sqref="F26:F30"/>
      <selection pane="topRight" activeCell="F26" sqref="F26:F30"/>
      <selection pane="bottomLeft" activeCell="F26" sqref="F26:F30"/>
      <selection pane="bottomRight" activeCell="AM17" sqref="AM17"/>
    </sheetView>
  </sheetViews>
  <sheetFormatPr baseColWidth="10" defaultColWidth="11.5703125" defaultRowHeight="15" x14ac:dyDescent="0.25"/>
  <cols>
    <col min="1" max="1" width="28.140625" style="904" customWidth="1"/>
    <col min="2" max="2" width="23.7109375" style="905" customWidth="1"/>
    <col min="3" max="3" width="26.42578125" style="894" customWidth="1"/>
    <col min="4" max="4" width="19.7109375" style="886" customWidth="1"/>
    <col min="5" max="5" width="16.28515625" style="894" customWidth="1"/>
    <col min="6" max="6" width="21.140625" style="894" customWidth="1"/>
    <col min="7" max="7" width="18.5703125" style="894" customWidth="1"/>
    <col min="8" max="8" width="31.140625" style="895" customWidth="1"/>
    <col min="9" max="9" width="7" style="886" hidden="1" customWidth="1"/>
    <col min="10" max="10" width="8.85546875" style="886" hidden="1" customWidth="1"/>
    <col min="11" max="11" width="7.7109375" style="886" hidden="1" customWidth="1"/>
    <col min="12" max="12" width="10.5703125" style="886" hidden="1" customWidth="1"/>
    <col min="13" max="13" width="6.7109375" style="886" hidden="1" customWidth="1"/>
    <col min="14" max="14" width="6.5703125" style="886" hidden="1" customWidth="1"/>
    <col min="15" max="15" width="6" style="886" hidden="1" customWidth="1"/>
    <col min="16" max="16" width="8.5703125" style="886" hidden="1" customWidth="1"/>
    <col min="17" max="17" width="11.85546875" style="886" hidden="1" customWidth="1"/>
    <col min="18" max="18" width="9.28515625" style="886" hidden="1" customWidth="1"/>
    <col min="19" max="19" width="11.85546875" style="886" hidden="1" customWidth="1"/>
    <col min="20" max="20" width="10.7109375" style="886" hidden="1" customWidth="1"/>
    <col min="21" max="21" width="23.5703125" style="886" hidden="1" customWidth="1"/>
    <col min="22" max="22" width="19.85546875" style="886" hidden="1" customWidth="1"/>
    <col min="23" max="23" width="14.5703125" style="886" hidden="1" customWidth="1"/>
    <col min="24" max="24" width="16.28515625" style="886" hidden="1" customWidth="1"/>
    <col min="25" max="25" width="56.85546875" style="886" hidden="1" customWidth="1"/>
    <col min="26" max="26" width="20" style="886" hidden="1" customWidth="1"/>
    <col min="27" max="27" width="17.7109375" style="886" hidden="1" customWidth="1"/>
    <col min="28" max="28" width="29.5703125" style="886" hidden="1" customWidth="1"/>
    <col min="29" max="29" width="55.5703125" style="886" hidden="1" customWidth="1"/>
    <col min="30" max="30" width="36.28515625" style="886" hidden="1" customWidth="1"/>
    <col min="31" max="31" width="20" style="886" hidden="1" customWidth="1"/>
    <col min="32" max="32" width="17.7109375" style="886" hidden="1" customWidth="1"/>
    <col min="33" max="33" width="29.5703125" style="886" hidden="1" customWidth="1"/>
    <col min="34" max="34" width="55.5703125" style="886" hidden="1" customWidth="1"/>
    <col min="35" max="35" width="36.28515625" style="886" hidden="1" customWidth="1"/>
    <col min="36" max="38" width="11.5703125" style="886"/>
    <col min="39" max="39" width="99.5703125" style="886" customWidth="1"/>
    <col min="40" max="16384" width="11.5703125" style="886"/>
  </cols>
  <sheetData>
    <row r="1" spans="1:40" ht="55.5" customHeight="1" x14ac:dyDescent="0.25">
      <c r="A1" s="1950" t="s">
        <v>2567</v>
      </c>
      <c r="B1" s="2172"/>
      <c r="C1" s="2172"/>
      <c r="D1" s="2172"/>
      <c r="E1" s="2172"/>
      <c r="F1" s="2172"/>
      <c r="G1" s="2172"/>
      <c r="H1" s="2428"/>
      <c r="I1" s="1950" t="s">
        <v>1351</v>
      </c>
      <c r="J1" s="1947"/>
      <c r="K1" s="1947"/>
      <c r="L1" s="1947"/>
      <c r="M1" s="1947"/>
      <c r="N1" s="1947"/>
      <c r="O1" s="1947"/>
      <c r="P1" s="1947"/>
      <c r="Q1" s="1947"/>
      <c r="R1" s="1947"/>
      <c r="S1" s="1947"/>
      <c r="T1" s="1947"/>
      <c r="U1" s="939"/>
      <c r="W1" s="2173" t="s">
        <v>1970</v>
      </c>
      <c r="X1" s="2172"/>
      <c r="Y1" s="2172"/>
      <c r="Z1" s="2173" t="s">
        <v>2138</v>
      </c>
      <c r="AA1" s="2172"/>
      <c r="AB1" s="2172"/>
      <c r="AC1" s="2172"/>
      <c r="AD1" s="2172"/>
      <c r="AE1" s="2173" t="s">
        <v>2630</v>
      </c>
      <c r="AF1" s="2172"/>
      <c r="AG1" s="2172"/>
      <c r="AH1" s="2172"/>
      <c r="AI1" s="2172"/>
      <c r="AJ1" s="2173" t="s">
        <v>2871</v>
      </c>
      <c r="AK1" s="2172"/>
      <c r="AL1" s="2172"/>
      <c r="AM1" s="2172"/>
      <c r="AN1" s="2172"/>
    </row>
    <row r="2" spans="1:40" ht="7.5" customHeight="1" x14ac:dyDescent="0.25">
      <c r="A2" s="900"/>
      <c r="B2" s="894"/>
      <c r="C2" s="807"/>
      <c r="D2" s="807"/>
      <c r="E2" s="807"/>
      <c r="F2" s="807"/>
      <c r="G2" s="808"/>
      <c r="H2" s="793"/>
      <c r="U2" s="807"/>
    </row>
    <row r="3" spans="1:40" ht="51.75" customHeight="1" x14ac:dyDescent="0.25">
      <c r="A3" s="777" t="s">
        <v>1221</v>
      </c>
      <c r="B3" s="777" t="s">
        <v>47</v>
      </c>
      <c r="C3" s="810" t="s">
        <v>1461</v>
      </c>
      <c r="D3" s="810" t="s">
        <v>1</v>
      </c>
      <c r="E3" s="810" t="s">
        <v>51</v>
      </c>
      <c r="F3" s="810" t="s">
        <v>2216</v>
      </c>
      <c r="G3" s="810" t="s">
        <v>3</v>
      </c>
      <c r="H3" s="1188"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848"/>
      <c r="V3" s="940"/>
      <c r="W3" s="811" t="s">
        <v>1926</v>
      </c>
      <c r="X3" s="779" t="s">
        <v>1927</v>
      </c>
      <c r="Y3" s="779" t="s">
        <v>2121</v>
      </c>
      <c r="Z3" s="811" t="s">
        <v>1926</v>
      </c>
      <c r="AA3" s="811" t="s">
        <v>1927</v>
      </c>
      <c r="AB3" s="811" t="s">
        <v>2126</v>
      </c>
      <c r="AC3" s="811" t="s">
        <v>2159</v>
      </c>
      <c r="AD3" s="811" t="s">
        <v>1928</v>
      </c>
      <c r="AE3" s="1634" t="s">
        <v>1926</v>
      </c>
      <c r="AF3" s="1634" t="s">
        <v>1927</v>
      </c>
      <c r="AG3" s="1634" t="s">
        <v>2126</v>
      </c>
      <c r="AH3" s="1634" t="s">
        <v>2159</v>
      </c>
      <c r="AI3" s="1634" t="s">
        <v>1928</v>
      </c>
      <c r="AJ3" s="1634" t="s">
        <v>1926</v>
      </c>
      <c r="AK3" s="1634" t="s">
        <v>1927</v>
      </c>
      <c r="AL3" s="1634" t="s">
        <v>2126</v>
      </c>
      <c r="AM3" s="1634" t="s">
        <v>2159</v>
      </c>
      <c r="AN3" s="1634" t="s">
        <v>1928</v>
      </c>
    </row>
    <row r="4" spans="1:40" ht="356.25" customHeight="1" x14ac:dyDescent="0.25">
      <c r="A4" s="2095" t="s">
        <v>1483</v>
      </c>
      <c r="B4" s="1986" t="s">
        <v>374</v>
      </c>
      <c r="C4" s="2021" t="s">
        <v>1720</v>
      </c>
      <c r="D4" s="2021" t="s">
        <v>1553</v>
      </c>
      <c r="E4" s="2123" t="s">
        <v>1721</v>
      </c>
      <c r="F4" s="2123" t="s">
        <v>1522</v>
      </c>
      <c r="G4" s="1987" t="s">
        <v>70</v>
      </c>
      <c r="H4" s="1110" t="s">
        <v>2288</v>
      </c>
      <c r="I4" s="1039"/>
      <c r="J4" s="1040"/>
      <c r="K4" s="1040" t="s">
        <v>1397</v>
      </c>
      <c r="L4" s="1040"/>
      <c r="M4" s="1040"/>
      <c r="N4" s="1040" t="s">
        <v>1397</v>
      </c>
      <c r="O4" s="1040"/>
      <c r="P4" s="1040"/>
      <c r="Q4" s="1040" t="s">
        <v>1397</v>
      </c>
      <c r="R4" s="1040"/>
      <c r="S4" s="1040"/>
      <c r="T4" s="1129" t="s">
        <v>1397</v>
      </c>
      <c r="U4" s="1168">
        <v>43465</v>
      </c>
      <c r="V4" s="2424" t="s">
        <v>292</v>
      </c>
      <c r="W4" s="887">
        <v>0.45</v>
      </c>
      <c r="X4" s="2156">
        <v>0.45</v>
      </c>
      <c r="Y4" s="889" t="s">
        <v>2123</v>
      </c>
      <c r="Z4" s="1100">
        <v>1</v>
      </c>
      <c r="AA4" s="2421">
        <v>1</v>
      </c>
      <c r="AB4" s="889" t="s">
        <v>2289</v>
      </c>
      <c r="AC4" s="1176" t="s">
        <v>2309</v>
      </c>
      <c r="AD4" s="892"/>
      <c r="AE4" s="1619">
        <v>1</v>
      </c>
      <c r="AF4" s="2421">
        <v>1</v>
      </c>
      <c r="AG4" s="789" t="s">
        <v>2822</v>
      </c>
      <c r="AH4" s="1176" t="s">
        <v>2783</v>
      </c>
      <c r="AI4" s="892"/>
      <c r="AJ4" s="1749">
        <v>1</v>
      </c>
      <c r="AK4" s="2421">
        <v>0.93</v>
      </c>
      <c r="AL4" s="789" t="s">
        <v>2822</v>
      </c>
      <c r="AM4" s="1176" t="s">
        <v>3045</v>
      </c>
      <c r="AN4" s="892"/>
    </row>
    <row r="5" spans="1:40" ht="333.75" customHeight="1" x14ac:dyDescent="0.25">
      <c r="A5" s="2095"/>
      <c r="B5" s="1986"/>
      <c r="C5" s="2022"/>
      <c r="D5" s="2022"/>
      <c r="E5" s="2427"/>
      <c r="F5" s="2427"/>
      <c r="G5" s="1987"/>
      <c r="H5" s="1110" t="s">
        <v>1608</v>
      </c>
      <c r="I5" s="1042"/>
      <c r="J5" s="1043"/>
      <c r="K5" s="1043"/>
      <c r="L5" s="1043" t="s">
        <v>1397</v>
      </c>
      <c r="M5" s="1043"/>
      <c r="N5" s="1043" t="s">
        <v>1397</v>
      </c>
      <c r="O5" s="1043"/>
      <c r="P5" s="1043"/>
      <c r="Q5" s="1043" t="s">
        <v>1397</v>
      </c>
      <c r="R5" s="1043"/>
      <c r="S5" s="1043"/>
      <c r="T5" s="1130" t="s">
        <v>1397</v>
      </c>
      <c r="U5" s="1168">
        <v>43465</v>
      </c>
      <c r="V5" s="2424"/>
      <c r="W5" s="891" t="s">
        <v>1906</v>
      </c>
      <c r="X5" s="2157"/>
      <c r="Y5" s="889" t="s">
        <v>2120</v>
      </c>
      <c r="Z5" s="1100">
        <v>1</v>
      </c>
      <c r="AA5" s="2421"/>
      <c r="AB5" s="889" t="s">
        <v>2298</v>
      </c>
      <c r="AC5" s="941" t="s">
        <v>2305</v>
      </c>
      <c r="AD5" s="889"/>
      <c r="AE5" s="1619">
        <v>1</v>
      </c>
      <c r="AF5" s="2421"/>
      <c r="AG5" s="789" t="s">
        <v>2298</v>
      </c>
      <c r="AH5" s="789" t="s">
        <v>2784</v>
      </c>
      <c r="AI5" s="889"/>
      <c r="AJ5" s="1749">
        <v>0.8</v>
      </c>
      <c r="AK5" s="2421"/>
      <c r="AL5" s="789" t="s">
        <v>2298</v>
      </c>
      <c r="AM5" s="789" t="s">
        <v>3043</v>
      </c>
      <c r="AN5" s="889"/>
    </row>
    <row r="6" spans="1:40" ht="84" customHeight="1" x14ac:dyDescent="0.25">
      <c r="A6" s="2095"/>
      <c r="B6" s="1986"/>
      <c r="C6" s="2023"/>
      <c r="D6" s="2023"/>
      <c r="E6" s="2119"/>
      <c r="F6" s="2119"/>
      <c r="G6" s="1987"/>
      <c r="H6" s="1835" t="s">
        <v>1610</v>
      </c>
      <c r="I6" s="1057"/>
      <c r="J6" s="1058"/>
      <c r="K6" s="1058" t="s">
        <v>1397</v>
      </c>
      <c r="L6" s="1058"/>
      <c r="M6" s="1058"/>
      <c r="N6" s="1058"/>
      <c r="O6" s="982" t="s">
        <v>1397</v>
      </c>
      <c r="P6" s="1058"/>
      <c r="Q6" s="982" t="s">
        <v>1397</v>
      </c>
      <c r="R6" s="1058"/>
      <c r="S6" s="982" t="s">
        <v>1397</v>
      </c>
      <c r="T6" s="1196"/>
      <c r="U6" s="1168"/>
      <c r="V6" s="1191"/>
      <c r="W6" s="887">
        <v>0.45</v>
      </c>
      <c r="X6" s="2158"/>
      <c r="Y6" s="889" t="s">
        <v>2122</v>
      </c>
      <c r="Z6" s="1100" t="s">
        <v>353</v>
      </c>
      <c r="AA6" s="2421"/>
      <c r="AB6" s="892"/>
      <c r="AC6" s="1174"/>
      <c r="AD6" s="889" t="s">
        <v>2297</v>
      </c>
      <c r="AE6" s="1619" t="s">
        <v>353</v>
      </c>
      <c r="AF6" s="2421"/>
      <c r="AG6" s="902"/>
      <c r="AH6" s="1184" t="s">
        <v>2785</v>
      </c>
      <c r="AI6" s="889"/>
      <c r="AJ6" s="1749">
        <v>1</v>
      </c>
      <c r="AK6" s="2421"/>
      <c r="AL6" s="902"/>
      <c r="AM6" s="1834" t="s">
        <v>3046</v>
      </c>
      <c r="AN6" s="889"/>
    </row>
    <row r="7" spans="1:40" ht="105" x14ac:dyDescent="0.25">
      <c r="A7" s="2095"/>
      <c r="B7" s="1986"/>
      <c r="C7" s="2021" t="s">
        <v>1523</v>
      </c>
      <c r="D7" s="2021" t="s">
        <v>1524</v>
      </c>
      <c r="E7" s="2021" t="s">
        <v>1472</v>
      </c>
      <c r="F7" s="2021" t="s">
        <v>1609</v>
      </c>
      <c r="G7" s="1987"/>
      <c r="H7" s="1835" t="s">
        <v>2290</v>
      </c>
      <c r="I7" s="1039"/>
      <c r="J7" s="1040"/>
      <c r="K7" s="1193" t="s">
        <v>1397</v>
      </c>
      <c r="L7" s="1040"/>
      <c r="M7" s="1040"/>
      <c r="N7" s="1193" t="s">
        <v>1397</v>
      </c>
      <c r="O7" s="1040"/>
      <c r="P7" s="1040"/>
      <c r="Q7" s="1193" t="s">
        <v>1397</v>
      </c>
      <c r="R7" s="1040"/>
      <c r="S7" s="1040"/>
      <c r="T7" s="1194" t="s">
        <v>1397</v>
      </c>
      <c r="U7" s="1168"/>
      <c r="V7" s="1191"/>
      <c r="W7" s="887"/>
      <c r="X7" s="887"/>
      <c r="Y7" s="1185" t="s">
        <v>2300</v>
      </c>
      <c r="Z7" s="1100">
        <v>1</v>
      </c>
      <c r="AA7" s="2421">
        <v>1</v>
      </c>
      <c r="AB7" s="960" t="s">
        <v>2293</v>
      </c>
      <c r="AC7" s="1184" t="s">
        <v>2306</v>
      </c>
      <c r="AD7" s="2426" t="s">
        <v>2296</v>
      </c>
      <c r="AE7" s="1619">
        <v>1</v>
      </c>
      <c r="AF7" s="2421">
        <v>1</v>
      </c>
      <c r="AG7" s="1693" t="s">
        <v>2293</v>
      </c>
      <c r="AH7" s="1184" t="s">
        <v>2306</v>
      </c>
      <c r="AI7" s="2426"/>
      <c r="AJ7" s="1749">
        <v>1</v>
      </c>
      <c r="AK7" s="2421">
        <v>1</v>
      </c>
      <c r="AL7" s="1745" t="s">
        <v>2293</v>
      </c>
      <c r="AM7" s="1834" t="s">
        <v>3047</v>
      </c>
      <c r="AN7" s="2426"/>
    </row>
    <row r="8" spans="1:40" ht="50.25" customHeight="1" x14ac:dyDescent="0.25">
      <c r="A8" s="2095"/>
      <c r="B8" s="1986"/>
      <c r="C8" s="2022"/>
      <c r="D8" s="2022"/>
      <c r="E8" s="2022"/>
      <c r="F8" s="2022"/>
      <c r="G8" s="1987"/>
      <c r="H8" s="1835" t="s">
        <v>2291</v>
      </c>
      <c r="I8" s="1042"/>
      <c r="J8" s="1043"/>
      <c r="K8" s="1043"/>
      <c r="L8" s="1043"/>
      <c r="M8" s="1043"/>
      <c r="N8" s="958" t="s">
        <v>1397</v>
      </c>
      <c r="O8" s="1043"/>
      <c r="P8" s="1043"/>
      <c r="Q8" s="1043"/>
      <c r="R8" s="1043"/>
      <c r="S8" s="1043"/>
      <c r="T8" s="1130"/>
      <c r="U8" s="1168"/>
      <c r="V8" s="1191"/>
      <c r="W8" s="887"/>
      <c r="X8" s="887"/>
      <c r="Y8" s="1185"/>
      <c r="Z8" s="1100">
        <v>1</v>
      </c>
      <c r="AA8" s="2421"/>
      <c r="AB8" s="889" t="s">
        <v>2299</v>
      </c>
      <c r="AC8" s="764" t="s">
        <v>2294</v>
      </c>
      <c r="AD8" s="2426"/>
      <c r="AE8" s="1619">
        <v>1</v>
      </c>
      <c r="AF8" s="2421"/>
      <c r="AG8" s="941" t="s">
        <v>2299</v>
      </c>
      <c r="AH8" s="764" t="s">
        <v>2786</v>
      </c>
      <c r="AI8" s="2426"/>
      <c r="AJ8" s="1749">
        <v>1</v>
      </c>
      <c r="AK8" s="2421"/>
      <c r="AL8" s="941" t="s">
        <v>2299</v>
      </c>
      <c r="AM8" s="764" t="s">
        <v>2294</v>
      </c>
      <c r="AN8" s="2426"/>
    </row>
    <row r="9" spans="1:40" ht="54" customHeight="1" x14ac:dyDescent="0.25">
      <c r="A9" s="2095"/>
      <c r="B9" s="1986"/>
      <c r="C9" s="2023"/>
      <c r="D9" s="2023"/>
      <c r="E9" s="2023"/>
      <c r="F9" s="2023"/>
      <c r="G9" s="1987"/>
      <c r="H9" s="1835" t="s">
        <v>2292</v>
      </c>
      <c r="I9" s="1057"/>
      <c r="J9" s="1058"/>
      <c r="K9" s="1058"/>
      <c r="L9" s="1058"/>
      <c r="M9" s="1058"/>
      <c r="N9" s="1058"/>
      <c r="O9" s="982" t="s">
        <v>1397</v>
      </c>
      <c r="P9" s="982" t="s">
        <v>1397</v>
      </c>
      <c r="Q9" s="982" t="s">
        <v>1397</v>
      </c>
      <c r="R9" s="982" t="s">
        <v>1397</v>
      </c>
      <c r="S9" s="982" t="s">
        <v>1397</v>
      </c>
      <c r="T9" s="1195" t="s">
        <v>1397</v>
      </c>
      <c r="U9" s="1168"/>
      <c r="V9" s="1191"/>
      <c r="W9" s="887"/>
      <c r="X9" s="887"/>
      <c r="Y9" s="889"/>
      <c r="Z9" s="1100">
        <v>1</v>
      </c>
      <c r="AA9" s="2421"/>
      <c r="AB9" s="889" t="s">
        <v>2299</v>
      </c>
      <c r="AC9" s="1184" t="s">
        <v>2295</v>
      </c>
      <c r="AD9" s="2426"/>
      <c r="AE9" s="1619">
        <v>1</v>
      </c>
      <c r="AF9" s="2421"/>
      <c r="AG9" s="941" t="s">
        <v>2299</v>
      </c>
      <c r="AH9" s="1184" t="s">
        <v>2295</v>
      </c>
      <c r="AI9" s="2426"/>
      <c r="AJ9" s="1749">
        <v>1</v>
      </c>
      <c r="AK9" s="2421"/>
      <c r="AL9" s="941" t="s">
        <v>2299</v>
      </c>
      <c r="AM9" s="1834" t="s">
        <v>3048</v>
      </c>
      <c r="AN9" s="2426"/>
    </row>
    <row r="10" spans="1:40" ht="177.75" customHeight="1" x14ac:dyDescent="0.25">
      <c r="A10" s="2095"/>
      <c r="B10" s="1986"/>
      <c r="C10" s="1986" t="s">
        <v>1611</v>
      </c>
      <c r="D10" s="1987" t="s">
        <v>1474</v>
      </c>
      <c r="E10" s="1987" t="s">
        <v>1525</v>
      </c>
      <c r="F10" s="1987" t="s">
        <v>1475</v>
      </c>
      <c r="G10" s="1987"/>
      <c r="H10" s="1827" t="s">
        <v>3050</v>
      </c>
      <c r="I10" s="1039"/>
      <c r="J10" s="1040"/>
      <c r="K10" s="1040"/>
      <c r="L10" s="1040" t="s">
        <v>1397</v>
      </c>
      <c r="M10" s="1040"/>
      <c r="N10" s="1040" t="s">
        <v>1397</v>
      </c>
      <c r="O10" s="1193" t="s">
        <v>1397</v>
      </c>
      <c r="P10" s="1040" t="s">
        <v>778</v>
      </c>
      <c r="Q10" s="1193" t="s">
        <v>1397</v>
      </c>
      <c r="R10" s="1040" t="s">
        <v>778</v>
      </c>
      <c r="S10" s="1193" t="s">
        <v>1397</v>
      </c>
      <c r="T10" s="1129"/>
      <c r="U10" s="1168"/>
      <c r="V10" s="2425" t="s">
        <v>292</v>
      </c>
      <c r="W10" s="891" t="s">
        <v>353</v>
      </c>
      <c r="X10" s="1953"/>
      <c r="Y10" s="889" t="s">
        <v>2120</v>
      </c>
      <c r="Z10" s="1100">
        <v>1</v>
      </c>
      <c r="AA10" s="2421">
        <v>1</v>
      </c>
      <c r="AB10" s="889" t="s">
        <v>2304</v>
      </c>
      <c r="AC10" s="1176" t="s">
        <v>2789</v>
      </c>
      <c r="AD10" s="889" t="s">
        <v>2301</v>
      </c>
      <c r="AE10" s="1619">
        <v>1</v>
      </c>
      <c r="AF10" s="2421">
        <v>1</v>
      </c>
      <c r="AG10" s="941" t="s">
        <v>2304</v>
      </c>
      <c r="AH10" s="1176" t="s">
        <v>2787</v>
      </c>
      <c r="AI10" s="889" t="s">
        <v>2301</v>
      </c>
      <c r="AJ10" s="1749">
        <v>1</v>
      </c>
      <c r="AK10" s="2421">
        <v>0.5</v>
      </c>
      <c r="AL10" s="941" t="s">
        <v>2304</v>
      </c>
      <c r="AM10" s="1176" t="s">
        <v>3049</v>
      </c>
      <c r="AN10" s="889" t="s">
        <v>2301</v>
      </c>
    </row>
    <row r="11" spans="1:40" ht="90" customHeight="1" x14ac:dyDescent="0.25">
      <c r="A11" s="2095"/>
      <c r="B11" s="1986"/>
      <c r="C11" s="1986"/>
      <c r="D11" s="1987"/>
      <c r="E11" s="1987"/>
      <c r="F11" s="1987"/>
      <c r="G11" s="1987"/>
      <c r="H11" s="1827" t="s">
        <v>2302</v>
      </c>
      <c r="I11" s="1057"/>
      <c r="J11" s="1058"/>
      <c r="K11" s="1058"/>
      <c r="L11" s="1058"/>
      <c r="M11" s="1058"/>
      <c r="N11" s="1058"/>
      <c r="O11" s="982" t="s">
        <v>1397</v>
      </c>
      <c r="P11" s="1058" t="s">
        <v>778</v>
      </c>
      <c r="Q11" s="982" t="s">
        <v>1397</v>
      </c>
      <c r="R11" s="1058" t="s">
        <v>778</v>
      </c>
      <c r="S11" s="982" t="s">
        <v>1397</v>
      </c>
      <c r="T11" s="1196"/>
      <c r="U11" s="1168"/>
      <c r="V11" s="2425"/>
      <c r="W11" s="891"/>
      <c r="X11" s="1954"/>
      <c r="Y11" s="889"/>
      <c r="Z11" s="1100">
        <v>1</v>
      </c>
      <c r="AA11" s="2421"/>
      <c r="AB11" s="892"/>
      <c r="AC11" s="789" t="s">
        <v>2307</v>
      </c>
      <c r="AD11" s="1185" t="s">
        <v>2303</v>
      </c>
      <c r="AE11" s="1179" t="s">
        <v>353</v>
      </c>
      <c r="AF11" s="2421"/>
      <c r="AG11" s="1185"/>
      <c r="AH11" s="789" t="s">
        <v>2788</v>
      </c>
      <c r="AI11" s="1185"/>
      <c r="AJ11" s="1179"/>
      <c r="AK11" s="2421"/>
      <c r="AL11" s="1185"/>
      <c r="AM11" s="789" t="s">
        <v>3044</v>
      </c>
      <c r="AN11" s="1185"/>
    </row>
    <row r="12" spans="1:40" x14ac:dyDescent="0.25">
      <c r="A12" s="902" t="s">
        <v>2280</v>
      </c>
      <c r="B12" s="903"/>
      <c r="C12" s="891"/>
      <c r="D12" s="892"/>
      <c r="E12" s="891"/>
      <c r="F12" s="891"/>
      <c r="G12" s="891"/>
      <c r="H12" s="1189"/>
      <c r="I12" s="1006"/>
      <c r="J12" s="1007"/>
      <c r="K12" s="1007"/>
      <c r="L12" s="1007"/>
      <c r="M12" s="1007"/>
      <c r="N12" s="1007"/>
      <c r="O12" s="1007"/>
      <c r="P12" s="1007"/>
      <c r="Q12" s="1007"/>
      <c r="R12" s="1007"/>
      <c r="S12" s="1007"/>
      <c r="T12" s="1111"/>
      <c r="U12" s="1111"/>
      <c r="V12" s="1111"/>
      <c r="W12" s="1190">
        <v>0.45</v>
      </c>
      <c r="X12" s="1111"/>
      <c r="Y12" s="1111"/>
      <c r="Z12" s="892"/>
      <c r="AA12" s="892"/>
      <c r="AB12" s="892"/>
      <c r="AC12" s="892"/>
      <c r="AD12" s="892"/>
      <c r="AE12" s="892"/>
      <c r="AF12" s="892"/>
      <c r="AG12" s="892"/>
      <c r="AH12" s="892"/>
      <c r="AI12" s="892"/>
      <c r="AJ12" s="892"/>
      <c r="AK12" s="892"/>
      <c r="AL12" s="892"/>
      <c r="AM12" s="892"/>
      <c r="AN12" s="892"/>
    </row>
    <row r="13" spans="1:40" ht="15.75" customHeight="1" x14ac:dyDescent="0.25">
      <c r="A13" s="902"/>
      <c r="B13" s="903"/>
      <c r="C13" s="891"/>
      <c r="D13" s="892"/>
      <c r="E13" s="891"/>
      <c r="F13" s="891"/>
      <c r="G13" s="891"/>
      <c r="H13" s="1145"/>
      <c r="I13" s="1151"/>
      <c r="J13" s="1143"/>
      <c r="K13" s="1143"/>
      <c r="L13" s="1143"/>
      <c r="M13" s="1143"/>
      <c r="N13" s="1143"/>
      <c r="O13" s="1143"/>
      <c r="P13" s="1143"/>
      <c r="Q13" s="1143"/>
      <c r="R13" s="1143"/>
      <c r="S13" s="1143"/>
      <c r="T13" s="1144"/>
      <c r="U13" s="1144"/>
      <c r="V13" s="1144"/>
      <c r="W13" s="1171">
        <f>45%*25%</f>
        <v>0.1125</v>
      </c>
      <c r="X13" s="1144"/>
      <c r="Y13" s="1144"/>
      <c r="Z13" s="892"/>
      <c r="AA13" s="892"/>
      <c r="AB13" s="892"/>
      <c r="AC13" s="892"/>
      <c r="AD13" s="892"/>
      <c r="AE13" s="892"/>
      <c r="AF13" s="892"/>
      <c r="AG13" s="892"/>
      <c r="AH13" s="892"/>
      <c r="AI13" s="892"/>
      <c r="AJ13" s="892"/>
      <c r="AK13" s="892"/>
      <c r="AL13" s="892"/>
      <c r="AM13" s="892"/>
      <c r="AN13" s="892"/>
    </row>
    <row r="14" spans="1:40" ht="15" customHeight="1" x14ac:dyDescent="0.25">
      <c r="B14" s="2422" t="s">
        <v>2308</v>
      </c>
      <c r="C14" s="2422"/>
    </row>
    <row r="15" spans="1:40" x14ac:dyDescent="0.25">
      <c r="B15" s="2423"/>
      <c r="C15" s="2423"/>
      <c r="Z15" s="1172" t="s">
        <v>2394</v>
      </c>
      <c r="AA15" s="1141" t="s">
        <v>2396</v>
      </c>
      <c r="AE15" s="1172" t="s">
        <v>2394</v>
      </c>
      <c r="AF15" s="1141" t="s">
        <v>2396</v>
      </c>
      <c r="AJ15" s="1172" t="s">
        <v>2394</v>
      </c>
      <c r="AK15" s="1141" t="s">
        <v>3031</v>
      </c>
    </row>
    <row r="16" spans="1:40" x14ac:dyDescent="0.25">
      <c r="Z16" s="1141" t="s">
        <v>2428</v>
      </c>
      <c r="AA16" s="1173" t="s">
        <v>2376</v>
      </c>
      <c r="AB16" s="1472">
        <f>100%*25%</f>
        <v>0.25</v>
      </c>
      <c r="AE16" s="1141" t="s">
        <v>2428</v>
      </c>
      <c r="AF16" s="1173" t="s">
        <v>2376</v>
      </c>
      <c r="AG16" s="1472">
        <v>0.25</v>
      </c>
      <c r="AJ16" s="1141" t="s">
        <v>3053</v>
      </c>
      <c r="AK16" s="1173" t="s">
        <v>2376</v>
      </c>
      <c r="AL16" s="1472">
        <f>81%*25%</f>
        <v>0.20250000000000001</v>
      </c>
    </row>
  </sheetData>
  <mergeCells count="38">
    <mergeCell ref="AE1:AI1"/>
    <mergeCell ref="AF4:AF6"/>
    <mergeCell ref="AF7:AF9"/>
    <mergeCell ref="AI7:AI9"/>
    <mergeCell ref="AF10:AF11"/>
    <mergeCell ref="AJ1:AN1"/>
    <mergeCell ref="AK4:AK6"/>
    <mergeCell ref="AK7:AK9"/>
    <mergeCell ref="AN7:AN9"/>
    <mergeCell ref="AK10:AK11"/>
    <mergeCell ref="AD7:AD9"/>
    <mergeCell ref="Z1:AD1"/>
    <mergeCell ref="X4:X6"/>
    <mergeCell ref="C4:C6"/>
    <mergeCell ref="D4:D6"/>
    <mergeCell ref="E4:E6"/>
    <mergeCell ref="F4:F6"/>
    <mergeCell ref="C7:C9"/>
    <mergeCell ref="D7:D9"/>
    <mergeCell ref="E7:E9"/>
    <mergeCell ref="W1:Y1"/>
    <mergeCell ref="A1:H1"/>
    <mergeCell ref="A4:A11"/>
    <mergeCell ref="I1:T1"/>
    <mergeCell ref="AA10:AA11"/>
    <mergeCell ref="X10:X11"/>
    <mergeCell ref="AA4:AA6"/>
    <mergeCell ref="AA7:AA9"/>
    <mergeCell ref="B14:C15"/>
    <mergeCell ref="G4:G11"/>
    <mergeCell ref="V4:V5"/>
    <mergeCell ref="C10:C11"/>
    <mergeCell ref="D10:D11"/>
    <mergeCell ref="E10:E11"/>
    <mergeCell ref="F10:F11"/>
    <mergeCell ref="V10:V11"/>
    <mergeCell ref="B4:B11"/>
    <mergeCell ref="F7:F9"/>
  </mergeCells>
  <pageMargins left="0.70866141732283472" right="0.70866141732283472" top="0.74803149606299213" bottom="0.74803149606299213" header="0.31496062992125984" footer="0.31496062992125984"/>
  <pageSetup scale="2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8"/>
    <pageSetUpPr fitToPage="1"/>
  </sheetPr>
  <dimension ref="A1:AN19"/>
  <sheetViews>
    <sheetView topLeftCell="C1" zoomScale="80" zoomScaleNormal="80" zoomScaleSheetLayoutView="85" workbookViewId="0">
      <pane xSplit="6" ySplit="3" topLeftCell="AJ13" activePane="bottomRight" state="frozen"/>
      <selection activeCell="AK46" sqref="AK46"/>
      <selection pane="topRight" activeCell="AK46" sqref="AK46"/>
      <selection pane="bottomLeft" activeCell="AK46" sqref="AK46"/>
      <selection pane="bottomRight" activeCell="AK18" sqref="AK18"/>
    </sheetView>
  </sheetViews>
  <sheetFormatPr baseColWidth="10" defaultColWidth="11.5703125" defaultRowHeight="15" x14ac:dyDescent="0.25"/>
  <cols>
    <col min="1" max="1" width="14.85546875" style="904" customWidth="1"/>
    <col min="2" max="2" width="18.42578125" style="905" customWidth="1"/>
    <col min="3" max="3" width="19.28515625" style="894" customWidth="1"/>
    <col min="4" max="4" width="7.42578125" style="886" customWidth="1"/>
    <col min="5" max="5" width="23.7109375" style="894" customWidth="1"/>
    <col min="6" max="6" width="19.5703125" style="894" customWidth="1"/>
    <col min="7" max="7" width="16.85546875" style="894" customWidth="1"/>
    <col min="8" max="8" width="43.140625" style="895" customWidth="1"/>
    <col min="9" max="9" width="7.42578125" style="886" hidden="1" customWidth="1"/>
    <col min="10" max="10" width="9.5703125" style="886" hidden="1" customWidth="1"/>
    <col min="11" max="11" width="7.7109375" style="886" hidden="1" customWidth="1"/>
    <col min="12" max="12" width="6" style="886" hidden="1" customWidth="1"/>
    <col min="13" max="13" width="6.7109375" style="886" hidden="1" customWidth="1"/>
    <col min="14" max="14" width="6.5703125" style="886" hidden="1" customWidth="1"/>
    <col min="15" max="15" width="6" style="886" hidden="1" customWidth="1"/>
    <col min="16" max="16" width="8.5703125" style="886" hidden="1" customWidth="1"/>
    <col min="17" max="17" width="12.42578125" style="886" hidden="1" customWidth="1"/>
    <col min="18" max="18" width="9.85546875" style="886" hidden="1" customWidth="1"/>
    <col min="19" max="19" width="12.28515625" style="886" hidden="1" customWidth="1"/>
    <col min="20" max="20" width="11.28515625" style="886" hidden="1" customWidth="1"/>
    <col min="21" max="21" width="23.5703125" style="886" hidden="1" customWidth="1"/>
    <col min="22" max="22" width="19.85546875" style="886" hidden="1" customWidth="1"/>
    <col min="23" max="23" width="55.42578125" style="886" hidden="1" customWidth="1"/>
    <col min="24" max="25" width="0" style="886" hidden="1" customWidth="1"/>
    <col min="26" max="26" width="19.42578125" style="991" hidden="1" customWidth="1"/>
    <col min="27" max="27" width="20.28515625" style="991" hidden="1" customWidth="1"/>
    <col min="28" max="28" width="9.5703125" style="886" hidden="1" customWidth="1"/>
    <col min="29" max="29" width="110.85546875" style="886" hidden="1" customWidth="1"/>
    <col min="30" max="30" width="49.140625" style="886" hidden="1" customWidth="1"/>
    <col min="31" max="31" width="19.42578125" style="991" hidden="1" customWidth="1"/>
    <col min="32" max="32" width="20.28515625" style="991" hidden="1" customWidth="1"/>
    <col min="33" max="33" width="26.140625" style="886" hidden="1" customWidth="1"/>
    <col min="34" max="34" width="71" style="886" hidden="1" customWidth="1"/>
    <col min="35" max="35" width="49.140625" style="886" hidden="1" customWidth="1"/>
    <col min="36" max="37" width="11.5703125" style="886"/>
    <col min="38" max="38" width="26.28515625" style="886" customWidth="1"/>
    <col min="39" max="39" width="76.28515625" style="886" customWidth="1"/>
    <col min="40" max="40" width="56.42578125" style="886" customWidth="1"/>
    <col min="41" max="16384" width="11.5703125" style="886"/>
  </cols>
  <sheetData>
    <row r="1" spans="1:40" ht="66" customHeight="1" x14ac:dyDescent="0.25">
      <c r="A1" s="2094" t="s">
        <v>2568</v>
      </c>
      <c r="B1" s="2094"/>
      <c r="C1" s="2094"/>
      <c r="D1" s="2094"/>
      <c r="E1" s="2094"/>
      <c r="F1" s="2094"/>
      <c r="G1" s="2094"/>
      <c r="H1" s="2094"/>
      <c r="I1" s="1939" t="s">
        <v>1351</v>
      </c>
      <c r="J1" s="1939"/>
      <c r="K1" s="1939"/>
      <c r="L1" s="1939"/>
      <c r="M1" s="1939"/>
      <c r="N1" s="1939"/>
      <c r="O1" s="1939"/>
      <c r="P1" s="1939"/>
      <c r="Q1" s="1939"/>
      <c r="R1" s="1939"/>
      <c r="S1" s="1939"/>
      <c r="T1" s="1939"/>
      <c r="U1" s="939"/>
      <c r="W1" s="2173" t="s">
        <v>1970</v>
      </c>
      <c r="X1" s="2172"/>
      <c r="Y1" s="2172"/>
      <c r="Z1" s="2173" t="s">
        <v>2138</v>
      </c>
      <c r="AA1" s="2172"/>
      <c r="AB1" s="2172"/>
      <c r="AC1" s="2172"/>
      <c r="AD1" s="2172"/>
      <c r="AE1" s="2173" t="s">
        <v>2630</v>
      </c>
      <c r="AF1" s="2172"/>
      <c r="AG1" s="2172"/>
      <c r="AH1" s="2172"/>
      <c r="AI1" s="2172"/>
      <c r="AJ1" s="2173" t="s">
        <v>2871</v>
      </c>
      <c r="AK1" s="2172"/>
      <c r="AL1" s="2172"/>
      <c r="AM1" s="2172"/>
      <c r="AN1" s="2172"/>
    </row>
    <row r="2" spans="1:40" ht="7.5" customHeight="1" x14ac:dyDescent="0.25">
      <c r="A2" s="900"/>
      <c r="B2" s="894"/>
      <c r="C2" s="807"/>
      <c r="D2" s="807"/>
      <c r="E2" s="807"/>
      <c r="F2" s="807"/>
      <c r="G2" s="808"/>
      <c r="H2" s="793"/>
      <c r="U2" s="807"/>
      <c r="AJ2" s="991"/>
      <c r="AK2" s="991"/>
    </row>
    <row r="3" spans="1:40" s="906" customFormat="1" ht="51.75" customHeight="1" thickBot="1" x14ac:dyDescent="0.3">
      <c r="A3" s="777" t="s">
        <v>1221</v>
      </c>
      <c r="B3" s="777" t="s">
        <v>47</v>
      </c>
      <c r="C3" s="777" t="s">
        <v>1461</v>
      </c>
      <c r="D3" s="777" t="s">
        <v>1</v>
      </c>
      <c r="E3" s="777" t="s">
        <v>51</v>
      </c>
      <c r="F3" s="777" t="s">
        <v>2216</v>
      </c>
      <c r="G3" s="777" t="s">
        <v>3</v>
      </c>
      <c r="H3" s="809"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80"/>
      <c r="V3" s="780"/>
      <c r="W3" s="779" t="s">
        <v>2110</v>
      </c>
      <c r="X3" s="779" t="s">
        <v>1926</v>
      </c>
      <c r="Y3" s="779" t="s">
        <v>1927</v>
      </c>
      <c r="Z3" s="1413" t="s">
        <v>1926</v>
      </c>
      <c r="AA3" s="1413" t="s">
        <v>1927</v>
      </c>
      <c r="AB3" s="811" t="s">
        <v>2126</v>
      </c>
      <c r="AC3" s="811" t="s">
        <v>2159</v>
      </c>
      <c r="AD3" s="811" t="s">
        <v>1928</v>
      </c>
      <c r="AE3" s="1637" t="s">
        <v>1926</v>
      </c>
      <c r="AF3" s="1637" t="s">
        <v>1927</v>
      </c>
      <c r="AG3" s="1634" t="s">
        <v>2126</v>
      </c>
      <c r="AH3" s="1634" t="s">
        <v>2159</v>
      </c>
      <c r="AI3" s="1634" t="s">
        <v>1928</v>
      </c>
      <c r="AJ3" s="1637" t="s">
        <v>1926</v>
      </c>
      <c r="AK3" s="1637" t="s">
        <v>1927</v>
      </c>
      <c r="AL3" s="1634" t="s">
        <v>2126</v>
      </c>
      <c r="AM3" s="1634" t="s">
        <v>2159</v>
      </c>
      <c r="AN3" s="1634" t="s">
        <v>1928</v>
      </c>
    </row>
    <row r="4" spans="1:40" ht="63" customHeight="1" x14ac:dyDescent="0.25">
      <c r="A4" s="2095" t="s">
        <v>1478</v>
      </c>
      <c r="B4" s="1952" t="s">
        <v>374</v>
      </c>
      <c r="C4" s="1986" t="s">
        <v>1613</v>
      </c>
      <c r="D4" s="2432">
        <v>0.9</v>
      </c>
      <c r="E4" s="2411" t="s">
        <v>1526</v>
      </c>
      <c r="F4" s="2411" t="s">
        <v>1614</v>
      </c>
      <c r="G4" s="2411" t="s">
        <v>1051</v>
      </c>
      <c r="H4" s="1170" t="s">
        <v>1615</v>
      </c>
      <c r="I4" s="1039"/>
      <c r="J4" s="1040"/>
      <c r="K4" s="1040" t="s">
        <v>4</v>
      </c>
      <c r="L4" s="1040"/>
      <c r="M4" s="1040"/>
      <c r="N4" s="1040"/>
      <c r="O4" s="1040"/>
      <c r="P4" s="1040"/>
      <c r="Q4" s="1040"/>
      <c r="R4" s="1040"/>
      <c r="S4" s="1040"/>
      <c r="T4" s="1129" t="s">
        <v>1397</v>
      </c>
      <c r="U4" s="1479">
        <v>43465</v>
      </c>
      <c r="V4" s="2429" t="s">
        <v>1052</v>
      </c>
      <c r="W4" s="943" t="s">
        <v>2103</v>
      </c>
      <c r="X4" s="1102">
        <v>0.3</v>
      </c>
      <c r="Y4" s="2434">
        <f>(45%*25%)</f>
        <v>0.1125</v>
      </c>
      <c r="Z4" s="740">
        <v>1</v>
      </c>
      <c r="AA4" s="2433">
        <v>0.91</v>
      </c>
      <c r="AB4" s="892"/>
      <c r="AC4" s="759" t="s">
        <v>2515</v>
      </c>
      <c r="AD4" s="889" t="s">
        <v>2506</v>
      </c>
      <c r="AE4" s="740">
        <v>1</v>
      </c>
      <c r="AF4" s="2433">
        <v>1</v>
      </c>
      <c r="AG4" s="892"/>
      <c r="AH4" s="889" t="s">
        <v>2506</v>
      </c>
      <c r="AI4" s="889"/>
      <c r="AJ4" s="740">
        <v>1</v>
      </c>
      <c r="AK4" s="2433">
        <v>0.88</v>
      </c>
      <c r="AL4" s="892"/>
      <c r="AM4" s="889" t="s">
        <v>2506</v>
      </c>
      <c r="AN4" s="889"/>
    </row>
    <row r="5" spans="1:40" ht="246" customHeight="1" x14ac:dyDescent="0.25">
      <c r="A5" s="2095"/>
      <c r="B5" s="1952"/>
      <c r="C5" s="1986"/>
      <c r="D5" s="2411"/>
      <c r="E5" s="2411"/>
      <c r="F5" s="2411"/>
      <c r="G5" s="2411"/>
      <c r="H5" s="1170" t="s">
        <v>1476</v>
      </c>
      <c r="I5" s="1042"/>
      <c r="J5" s="1043"/>
      <c r="K5" s="1043"/>
      <c r="L5" s="1043"/>
      <c r="M5" s="1043"/>
      <c r="N5" s="1312" t="s">
        <v>1397</v>
      </c>
      <c r="O5" s="1043"/>
      <c r="P5" s="1043"/>
      <c r="Q5" s="1043"/>
      <c r="R5" s="1043"/>
      <c r="S5" s="1043"/>
      <c r="T5" s="1130" t="s">
        <v>1397</v>
      </c>
      <c r="U5" s="1480">
        <v>43465</v>
      </c>
      <c r="V5" s="2430"/>
      <c r="W5" s="906" t="s">
        <v>2104</v>
      </c>
      <c r="X5" s="1102">
        <v>7.0000000000000007E-2</v>
      </c>
      <c r="Y5" s="2434"/>
      <c r="Z5" s="740">
        <v>0.86</v>
      </c>
      <c r="AA5" s="2433"/>
      <c r="AB5" s="892"/>
      <c r="AC5" s="759" t="s">
        <v>2516</v>
      </c>
      <c r="AD5" s="759" t="s">
        <v>2517</v>
      </c>
      <c r="AE5" s="740" t="s">
        <v>353</v>
      </c>
      <c r="AF5" s="2433"/>
      <c r="AG5" s="892"/>
      <c r="AH5" s="759" t="s">
        <v>2815</v>
      </c>
      <c r="AI5" s="759" t="s">
        <v>2517</v>
      </c>
      <c r="AJ5" s="740">
        <v>1</v>
      </c>
      <c r="AK5" s="2433"/>
      <c r="AL5" s="892"/>
      <c r="AM5" s="759" t="s">
        <v>2937</v>
      </c>
      <c r="AN5" s="759" t="s">
        <v>2517</v>
      </c>
    </row>
    <row r="6" spans="1:40" ht="330" x14ac:dyDescent="0.25">
      <c r="A6" s="2095"/>
      <c r="B6" s="1952"/>
      <c r="C6" s="1986"/>
      <c r="D6" s="2411"/>
      <c r="E6" s="2411"/>
      <c r="F6" s="2411"/>
      <c r="G6" s="2411"/>
      <c r="H6" s="1170" t="s">
        <v>1616</v>
      </c>
      <c r="I6" s="1120"/>
      <c r="J6" s="1121"/>
      <c r="K6" s="1121"/>
      <c r="L6" s="1121"/>
      <c r="M6" s="1121"/>
      <c r="N6" s="1320" t="s">
        <v>1397</v>
      </c>
      <c r="O6" s="1121"/>
      <c r="P6" s="1121"/>
      <c r="Q6" s="1121"/>
      <c r="R6" s="1121"/>
      <c r="S6" s="1121"/>
      <c r="T6" s="1131" t="s">
        <v>1397</v>
      </c>
      <c r="U6" s="1480">
        <v>43465</v>
      </c>
      <c r="V6" s="2431"/>
      <c r="W6" s="906" t="s">
        <v>2105</v>
      </c>
      <c r="X6" s="1481">
        <v>7.4999999999999997E-2</v>
      </c>
      <c r="Y6" s="2434"/>
      <c r="Z6" s="740">
        <v>0.86</v>
      </c>
      <c r="AA6" s="2433"/>
      <c r="AB6" s="892"/>
      <c r="AC6" s="759" t="s">
        <v>2518</v>
      </c>
      <c r="AD6" s="759" t="s">
        <v>2519</v>
      </c>
      <c r="AE6" s="740" t="s">
        <v>353</v>
      </c>
      <c r="AF6" s="2433"/>
      <c r="AG6" s="892"/>
      <c r="AH6" s="759" t="s">
        <v>2816</v>
      </c>
      <c r="AI6" s="759" t="s">
        <v>2519</v>
      </c>
      <c r="AJ6" s="740">
        <v>0.65</v>
      </c>
      <c r="AK6" s="2433"/>
      <c r="AL6" s="892"/>
      <c r="AM6" s="759" t="s">
        <v>2938</v>
      </c>
      <c r="AN6" s="759" t="s">
        <v>2519</v>
      </c>
    </row>
    <row r="7" spans="1:40" ht="141" customHeight="1" x14ac:dyDescent="0.25">
      <c r="A7" s="2095"/>
      <c r="B7" s="1952" t="s">
        <v>374</v>
      </c>
      <c r="C7" s="1952" t="s">
        <v>1527</v>
      </c>
      <c r="D7" s="2013">
        <v>1</v>
      </c>
      <c r="E7" s="1952" t="s">
        <v>1768</v>
      </c>
      <c r="F7" s="1952" t="s">
        <v>1767</v>
      </c>
      <c r="G7" s="1952" t="s">
        <v>1051</v>
      </c>
      <c r="H7" s="1170" t="s">
        <v>1734</v>
      </c>
      <c r="I7" s="1777"/>
      <c r="J7" s="1778"/>
      <c r="K7" s="1778"/>
      <c r="L7" s="1778"/>
      <c r="M7" s="1778"/>
      <c r="N7" s="1778"/>
      <c r="O7" s="1778"/>
      <c r="P7" s="1778"/>
      <c r="Q7" s="1778"/>
      <c r="R7" s="1778"/>
      <c r="S7" s="1778"/>
      <c r="T7" s="1779" t="s">
        <v>1397</v>
      </c>
      <c r="U7" s="942">
        <v>43465</v>
      </c>
      <c r="V7" s="1952" t="s">
        <v>1052</v>
      </c>
      <c r="W7" s="1780" t="s">
        <v>2449</v>
      </c>
      <c r="X7" s="1781">
        <v>0.13</v>
      </c>
      <c r="Y7" s="2435">
        <v>0.44</v>
      </c>
      <c r="Z7" s="959">
        <v>0.8</v>
      </c>
      <c r="AA7" s="2306">
        <v>0.93</v>
      </c>
      <c r="AB7" s="786" t="s">
        <v>2514</v>
      </c>
      <c r="AC7" s="789" t="s">
        <v>2507</v>
      </c>
      <c r="AD7" s="941" t="s">
        <v>2508</v>
      </c>
      <c r="AE7" s="1782" t="s">
        <v>353</v>
      </c>
      <c r="AF7" s="2306">
        <v>1</v>
      </c>
      <c r="AG7" s="786" t="s">
        <v>2514</v>
      </c>
      <c r="AH7" s="789" t="s">
        <v>2817</v>
      </c>
      <c r="AI7" s="941" t="s">
        <v>2508</v>
      </c>
      <c r="AJ7" s="1782">
        <v>1</v>
      </c>
      <c r="AK7" s="2306">
        <v>0.99</v>
      </c>
      <c r="AL7" s="786" t="s">
        <v>2514</v>
      </c>
      <c r="AM7" s="1170" t="s">
        <v>2899</v>
      </c>
      <c r="AN7" s="889"/>
    </row>
    <row r="8" spans="1:40" ht="59.25" customHeight="1" x14ac:dyDescent="0.25">
      <c r="A8" s="2095"/>
      <c r="B8" s="1952"/>
      <c r="C8" s="1952"/>
      <c r="D8" s="2013"/>
      <c r="E8" s="1952"/>
      <c r="F8" s="1952"/>
      <c r="G8" s="1952"/>
      <c r="H8" s="1187" t="s">
        <v>1790</v>
      </c>
      <c r="I8" s="1783"/>
      <c r="J8" s="974"/>
      <c r="K8" s="974"/>
      <c r="L8" s="974"/>
      <c r="M8" s="974"/>
      <c r="N8" s="974"/>
      <c r="O8" s="974"/>
      <c r="P8" s="974"/>
      <c r="Q8" s="974"/>
      <c r="R8" s="974"/>
      <c r="S8" s="974"/>
      <c r="T8" s="1784"/>
      <c r="U8" s="942"/>
      <c r="V8" s="1952"/>
      <c r="W8" s="1785" t="s">
        <v>2106</v>
      </c>
      <c r="X8" s="1775"/>
      <c r="Y8" s="2436"/>
      <c r="Z8" s="959"/>
      <c r="AA8" s="2306"/>
      <c r="AB8" s="1771"/>
      <c r="AC8" s="941"/>
      <c r="AD8" s="941"/>
      <c r="AE8" s="959"/>
      <c r="AF8" s="2306"/>
      <c r="AG8" s="1771"/>
      <c r="AH8" s="941"/>
      <c r="AI8" s="941"/>
      <c r="AJ8" s="1782" t="s">
        <v>353</v>
      </c>
      <c r="AK8" s="2306"/>
      <c r="AL8" s="1771"/>
      <c r="AM8" s="941"/>
      <c r="AN8" s="889"/>
    </row>
    <row r="9" spans="1:40" ht="164.25" customHeight="1" x14ac:dyDescent="0.25">
      <c r="A9" s="2095"/>
      <c r="B9" s="1952"/>
      <c r="C9" s="1952"/>
      <c r="D9" s="2013"/>
      <c r="E9" s="1952"/>
      <c r="F9" s="1952"/>
      <c r="G9" s="1952"/>
      <c r="H9" s="1170" t="s">
        <v>1617</v>
      </c>
      <c r="I9" s="1783"/>
      <c r="J9" s="974"/>
      <c r="K9" s="974"/>
      <c r="L9" s="974"/>
      <c r="M9" s="974"/>
      <c r="N9" s="974"/>
      <c r="O9" s="1786" t="s">
        <v>1397</v>
      </c>
      <c r="P9" s="974"/>
      <c r="Q9" s="974"/>
      <c r="R9" s="974"/>
      <c r="S9" s="974"/>
      <c r="T9" s="1784" t="s">
        <v>1397</v>
      </c>
      <c r="U9" s="942"/>
      <c r="V9" s="1952"/>
      <c r="W9" s="1787" t="s">
        <v>2107</v>
      </c>
      <c r="X9" s="1781">
        <v>0.03</v>
      </c>
      <c r="Y9" s="2436"/>
      <c r="Z9" s="1782" t="s">
        <v>353</v>
      </c>
      <c r="AA9" s="2306"/>
      <c r="AB9" s="1771"/>
      <c r="AC9" s="789" t="s">
        <v>2513</v>
      </c>
      <c r="AD9" s="941"/>
      <c r="AE9" s="1782">
        <v>1</v>
      </c>
      <c r="AF9" s="2306"/>
      <c r="AG9" s="1771"/>
      <c r="AH9" s="789" t="s">
        <v>2818</v>
      </c>
      <c r="AI9" s="941"/>
      <c r="AJ9" s="1782">
        <v>1</v>
      </c>
      <c r="AK9" s="2306"/>
      <c r="AL9" s="1771"/>
      <c r="AM9" s="789" t="s">
        <v>2941</v>
      </c>
      <c r="AN9" s="1770" t="s">
        <v>2900</v>
      </c>
    </row>
    <row r="10" spans="1:40" ht="230.25" customHeight="1" x14ac:dyDescent="0.25">
      <c r="A10" s="2095"/>
      <c r="B10" s="1952"/>
      <c r="C10" s="1952"/>
      <c r="D10" s="2013"/>
      <c r="E10" s="1952"/>
      <c r="F10" s="1952"/>
      <c r="G10" s="1952"/>
      <c r="H10" s="1170" t="s">
        <v>1538</v>
      </c>
      <c r="I10" s="1783"/>
      <c r="J10" s="974"/>
      <c r="K10" s="974"/>
      <c r="L10" s="974"/>
      <c r="M10" s="974"/>
      <c r="N10" s="974"/>
      <c r="O10" s="974"/>
      <c r="P10" s="974"/>
      <c r="Q10" s="974"/>
      <c r="R10" s="974"/>
      <c r="S10" s="974"/>
      <c r="T10" s="1784" t="s">
        <v>1397</v>
      </c>
      <c r="U10" s="942"/>
      <c r="V10" s="1952"/>
      <c r="W10" s="790" t="s">
        <v>2450</v>
      </c>
      <c r="X10" s="1781">
        <v>0.1</v>
      </c>
      <c r="Y10" s="2436"/>
      <c r="Z10" s="959">
        <v>1</v>
      </c>
      <c r="AA10" s="2306"/>
      <c r="AB10" s="789" t="s">
        <v>2511</v>
      </c>
      <c r="AC10" s="789" t="s">
        <v>2512</v>
      </c>
      <c r="AD10" s="941" t="s">
        <v>2509</v>
      </c>
      <c r="AE10" s="1782" t="s">
        <v>353</v>
      </c>
      <c r="AF10" s="2306"/>
      <c r="AG10" s="789" t="s">
        <v>2511</v>
      </c>
      <c r="AH10" s="789" t="s">
        <v>2512</v>
      </c>
      <c r="AI10" s="941" t="s">
        <v>2509</v>
      </c>
      <c r="AJ10" s="1782">
        <v>1</v>
      </c>
      <c r="AK10" s="2306"/>
      <c r="AL10" s="789" t="s">
        <v>2511</v>
      </c>
      <c r="AM10" s="789" t="s">
        <v>2942</v>
      </c>
      <c r="AN10" s="889" t="s">
        <v>2509</v>
      </c>
    </row>
    <row r="11" spans="1:40" ht="306.75" customHeight="1" x14ac:dyDescent="0.25">
      <c r="A11" s="2095"/>
      <c r="B11" s="1952"/>
      <c r="C11" s="1952"/>
      <c r="D11" s="2013"/>
      <c r="E11" s="1952"/>
      <c r="F11" s="1952"/>
      <c r="G11" s="1952"/>
      <c r="H11" s="1170" t="s">
        <v>1537</v>
      </c>
      <c r="I11" s="1783"/>
      <c r="J11" s="974"/>
      <c r="K11" s="974"/>
      <c r="L11" s="974"/>
      <c r="M11" s="974"/>
      <c r="N11" s="974"/>
      <c r="O11" s="1786"/>
      <c r="P11" s="974"/>
      <c r="Q11" s="974"/>
      <c r="R11" s="974"/>
      <c r="S11" s="974"/>
      <c r="T11" s="1784" t="s">
        <v>1397</v>
      </c>
      <c r="U11" s="942"/>
      <c r="V11" s="1952"/>
      <c r="W11" s="1780" t="s">
        <v>2451</v>
      </c>
      <c r="X11" s="1781">
        <v>0.03</v>
      </c>
      <c r="Y11" s="2436"/>
      <c r="Z11" s="1782" t="s">
        <v>353</v>
      </c>
      <c r="AA11" s="2306"/>
      <c r="AB11" s="1771"/>
      <c r="AC11" s="789" t="s">
        <v>2584</v>
      </c>
      <c r="AD11" s="789" t="s">
        <v>2583</v>
      </c>
      <c r="AE11" s="1782" t="s">
        <v>353</v>
      </c>
      <c r="AF11" s="2306"/>
      <c r="AG11" s="1771"/>
      <c r="AH11" s="789" t="s">
        <v>2819</v>
      </c>
      <c r="AI11" s="789" t="s">
        <v>2583</v>
      </c>
      <c r="AJ11" s="1782">
        <v>0.93</v>
      </c>
      <c r="AK11" s="2306"/>
      <c r="AL11" s="1771"/>
      <c r="AM11" s="789" t="s">
        <v>2939</v>
      </c>
      <c r="AN11" s="789" t="s">
        <v>2583</v>
      </c>
    </row>
    <row r="12" spans="1:40" ht="34.5" customHeight="1" x14ac:dyDescent="0.25">
      <c r="A12" s="2095"/>
      <c r="B12" s="1952"/>
      <c r="C12" s="1952"/>
      <c r="D12" s="2013"/>
      <c r="E12" s="1952"/>
      <c r="F12" s="1952"/>
      <c r="G12" s="1952"/>
      <c r="H12" s="1170" t="s">
        <v>1536</v>
      </c>
      <c r="I12" s="1783"/>
      <c r="J12" s="974"/>
      <c r="K12" s="974"/>
      <c r="L12" s="974"/>
      <c r="M12" s="974"/>
      <c r="N12" s="1786" t="s">
        <v>1397</v>
      </c>
      <c r="O12" s="974"/>
      <c r="P12" s="974"/>
      <c r="Q12" s="974"/>
      <c r="R12" s="974"/>
      <c r="S12" s="974"/>
      <c r="T12" s="1784" t="s">
        <v>1397</v>
      </c>
      <c r="U12" s="942"/>
      <c r="V12" s="1952"/>
      <c r="W12" s="1775" t="s">
        <v>2108</v>
      </c>
      <c r="X12" s="1781">
        <v>0.15</v>
      </c>
      <c r="Y12" s="2437"/>
      <c r="Z12" s="959">
        <v>1</v>
      </c>
      <c r="AA12" s="2306"/>
      <c r="AB12" s="1771"/>
      <c r="AC12" s="789" t="s">
        <v>2520</v>
      </c>
      <c r="AD12" s="941" t="s">
        <v>2506</v>
      </c>
      <c r="AE12" s="959">
        <v>1</v>
      </c>
      <c r="AF12" s="2306"/>
      <c r="AG12" s="1771"/>
      <c r="AH12" s="789"/>
      <c r="AI12" s="941" t="s">
        <v>2506</v>
      </c>
      <c r="AJ12" s="959">
        <v>1</v>
      </c>
      <c r="AK12" s="2306"/>
      <c r="AL12" s="1771"/>
      <c r="AM12" s="789" t="s">
        <v>2901</v>
      </c>
      <c r="AN12" s="889" t="s">
        <v>2506</v>
      </c>
    </row>
    <row r="13" spans="1:40" ht="46.5" customHeight="1" x14ac:dyDescent="0.25">
      <c r="A13" s="2095"/>
      <c r="B13" s="1952"/>
      <c r="C13" s="1952"/>
      <c r="D13" s="1952"/>
      <c r="E13" s="1952"/>
      <c r="F13" s="1952"/>
      <c r="G13" s="1952"/>
      <c r="H13" s="1187" t="s">
        <v>1528</v>
      </c>
      <c r="I13" s="1788"/>
      <c r="J13" s="975"/>
      <c r="K13" s="975"/>
      <c r="L13" s="975"/>
      <c r="M13" s="975"/>
      <c r="N13" s="975"/>
      <c r="O13" s="975"/>
      <c r="P13" s="975"/>
      <c r="Q13" s="975"/>
      <c r="R13" s="975"/>
      <c r="S13" s="975"/>
      <c r="T13" s="1789" t="s">
        <v>1397</v>
      </c>
      <c r="U13" s="942">
        <v>43465</v>
      </c>
      <c r="V13" s="1952"/>
      <c r="W13" s="1785" t="s">
        <v>2106</v>
      </c>
      <c r="X13" s="1775"/>
      <c r="Y13" s="1775"/>
      <c r="Z13" s="959"/>
      <c r="AA13" s="2306"/>
      <c r="AB13" s="1771"/>
      <c r="AC13" s="941"/>
      <c r="AD13" s="941"/>
      <c r="AE13" s="959"/>
      <c r="AF13" s="2306"/>
      <c r="AG13" s="1771"/>
      <c r="AH13" s="941" t="s">
        <v>2820</v>
      </c>
      <c r="AI13" s="941"/>
      <c r="AJ13" s="1782" t="s">
        <v>2943</v>
      </c>
      <c r="AK13" s="2306"/>
      <c r="AL13" s="1771"/>
      <c r="AM13" s="941"/>
      <c r="AN13" s="889"/>
    </row>
    <row r="14" spans="1:40" ht="249" customHeight="1" thickBot="1" x14ac:dyDescent="0.3">
      <c r="A14" s="2095"/>
      <c r="B14" s="966" t="s">
        <v>374</v>
      </c>
      <c r="C14" s="966" t="s">
        <v>1071</v>
      </c>
      <c r="D14" s="1183">
        <v>1</v>
      </c>
      <c r="E14" s="966" t="s">
        <v>1386</v>
      </c>
      <c r="F14" s="966" t="s">
        <v>1529</v>
      </c>
      <c r="G14" s="966" t="s">
        <v>1051</v>
      </c>
      <c r="H14" s="1170" t="s">
        <v>1618</v>
      </c>
      <c r="I14" s="1037"/>
      <c r="J14" s="1038"/>
      <c r="K14" s="1038"/>
      <c r="L14" s="1038"/>
      <c r="M14" s="1038"/>
      <c r="N14" s="1038" t="s">
        <v>1397</v>
      </c>
      <c r="O14" s="1038"/>
      <c r="P14" s="1038"/>
      <c r="Q14" s="1038"/>
      <c r="R14" s="1038"/>
      <c r="S14" s="1038"/>
      <c r="T14" s="1485" t="s">
        <v>1397</v>
      </c>
      <c r="U14" s="1482">
        <v>42916</v>
      </c>
      <c r="V14" s="1483" t="s">
        <v>1072</v>
      </c>
      <c r="W14" s="906" t="s">
        <v>2109</v>
      </c>
      <c r="X14" s="1102">
        <v>0.3</v>
      </c>
      <c r="Y14" s="1484">
        <v>0.3</v>
      </c>
      <c r="Z14" s="1100">
        <v>1</v>
      </c>
      <c r="AA14" s="1486">
        <v>1</v>
      </c>
      <c r="AB14" s="892"/>
      <c r="AC14" s="759" t="s">
        <v>2521</v>
      </c>
      <c r="AD14" s="889" t="s">
        <v>2510</v>
      </c>
      <c r="AE14" s="1179" t="s">
        <v>353</v>
      </c>
      <c r="AF14" s="1694" t="s">
        <v>353</v>
      </c>
      <c r="AG14" s="892"/>
      <c r="AH14" s="759" t="s">
        <v>2821</v>
      </c>
      <c r="AI14" s="889" t="s">
        <v>2510</v>
      </c>
      <c r="AJ14" s="1179">
        <v>0.92</v>
      </c>
      <c r="AK14" s="1694">
        <v>0.92</v>
      </c>
      <c r="AL14" s="892"/>
      <c r="AM14" s="1770" t="s">
        <v>2940</v>
      </c>
      <c r="AN14" s="889"/>
    </row>
    <row r="15" spans="1:40" x14ac:dyDescent="0.25">
      <c r="A15" s="1395" t="s">
        <v>2377</v>
      </c>
      <c r="B15" s="903"/>
      <c r="C15" s="891"/>
      <c r="D15" s="892"/>
      <c r="E15" s="891"/>
      <c r="F15" s="891"/>
      <c r="G15" s="891"/>
      <c r="H15" s="1145"/>
      <c r="I15" s="1151"/>
      <c r="J15" s="1143"/>
      <c r="K15" s="1143"/>
      <c r="L15" s="1143"/>
      <c r="M15" s="1143"/>
      <c r="N15" s="1143"/>
      <c r="O15" s="1143"/>
      <c r="P15" s="1143"/>
      <c r="Q15" s="1143"/>
      <c r="R15" s="1143"/>
      <c r="S15" s="1143"/>
      <c r="T15" s="1144"/>
      <c r="U15" s="899"/>
      <c r="Y15" s="1117">
        <v>0.85</v>
      </c>
      <c r="Z15" s="1100"/>
      <c r="AA15" s="1100"/>
      <c r="AB15" s="892"/>
      <c r="AC15" s="892"/>
      <c r="AD15" s="892"/>
      <c r="AE15" s="1688"/>
      <c r="AF15" s="1688"/>
      <c r="AG15" s="892"/>
      <c r="AH15" s="892"/>
      <c r="AI15" s="892"/>
      <c r="AJ15" s="1749"/>
      <c r="AK15" s="1749"/>
      <c r="AL15" s="892"/>
      <c r="AM15" s="1772"/>
      <c r="AN15" s="892"/>
    </row>
    <row r="16" spans="1:40" ht="15.75" customHeight="1" x14ac:dyDescent="0.25">
      <c r="A16" s="902"/>
      <c r="B16" s="903"/>
      <c r="C16" s="891"/>
      <c r="D16" s="892"/>
      <c r="E16" s="891"/>
      <c r="F16" s="891"/>
      <c r="G16" s="891"/>
      <c r="H16" s="1145"/>
      <c r="I16" s="1151"/>
      <c r="J16" s="1143"/>
      <c r="K16" s="1143"/>
      <c r="L16" s="1143"/>
      <c r="M16" s="1143"/>
      <c r="N16" s="1143"/>
      <c r="O16" s="1143"/>
      <c r="P16" s="1143"/>
      <c r="Q16" s="1143"/>
      <c r="R16" s="1143"/>
      <c r="S16" s="1143"/>
      <c r="T16" s="1144"/>
      <c r="Y16" s="1201">
        <f>(85%*25%)</f>
        <v>0.21249999999999999</v>
      </c>
      <c r="Z16" s="1100"/>
      <c r="AA16" s="1100"/>
      <c r="AB16" s="892"/>
      <c r="AC16" s="892"/>
      <c r="AD16" s="892"/>
      <c r="AE16" s="1688"/>
      <c r="AF16" s="1688"/>
      <c r="AG16" s="892"/>
      <c r="AH16" s="892"/>
      <c r="AI16" s="892"/>
      <c r="AJ16" s="1749"/>
      <c r="AK16" s="1749"/>
      <c r="AL16" s="892"/>
      <c r="AM16" s="892"/>
      <c r="AN16" s="892"/>
    </row>
    <row r="17" spans="26:38" x14ac:dyDescent="0.25">
      <c r="AJ17" s="991"/>
      <c r="AK17" s="991"/>
    </row>
    <row r="18" spans="26:38" ht="18" customHeight="1" x14ac:dyDescent="0.25">
      <c r="Z18" s="1142" t="s">
        <v>2394</v>
      </c>
      <c r="AA18" s="1142" t="s">
        <v>2396</v>
      </c>
      <c r="AE18" s="1142" t="s">
        <v>2394</v>
      </c>
      <c r="AF18" s="1142" t="s">
        <v>2396</v>
      </c>
      <c r="AJ18" s="1142" t="s">
        <v>2394</v>
      </c>
      <c r="AK18" s="1142" t="s">
        <v>2396</v>
      </c>
    </row>
    <row r="19" spans="26:38" ht="18" customHeight="1" x14ac:dyDescent="0.25">
      <c r="Z19" s="1142" t="s">
        <v>2585</v>
      </c>
      <c r="AA19" s="1142" t="s">
        <v>2376</v>
      </c>
      <c r="AB19" s="1472">
        <f>(95%*25%)</f>
        <v>0.23749999999999999</v>
      </c>
      <c r="AE19" s="1142" t="s">
        <v>2547</v>
      </c>
      <c r="AF19" s="1142" t="s">
        <v>2376</v>
      </c>
      <c r="AG19" s="1472">
        <f>100%*25%</f>
        <v>0.25</v>
      </c>
      <c r="AJ19" s="1142" t="s">
        <v>2944</v>
      </c>
      <c r="AK19" s="1142" t="s">
        <v>2376</v>
      </c>
      <c r="AL19" s="1472">
        <f>93%*25%</f>
        <v>0.23250000000000001</v>
      </c>
    </row>
  </sheetData>
  <mergeCells count="29">
    <mergeCell ref="AJ1:AN1"/>
    <mergeCell ref="AK4:AK6"/>
    <mergeCell ref="AK7:AK13"/>
    <mergeCell ref="AE1:AI1"/>
    <mergeCell ref="AF4:AF6"/>
    <mergeCell ref="AF7:AF13"/>
    <mergeCell ref="W1:Y1"/>
    <mergeCell ref="AA4:AA6"/>
    <mergeCell ref="AA7:AA13"/>
    <mergeCell ref="Y4:Y6"/>
    <mergeCell ref="Y7:Y12"/>
    <mergeCell ref="Z1:AD1"/>
    <mergeCell ref="I1:T1"/>
    <mergeCell ref="A1:H1"/>
    <mergeCell ref="A4:A14"/>
    <mergeCell ref="B4:B6"/>
    <mergeCell ref="C4:C6"/>
    <mergeCell ref="D4:D6"/>
    <mergeCell ref="E4:E6"/>
    <mergeCell ref="G4:G6"/>
    <mergeCell ref="V4:V6"/>
    <mergeCell ref="B7:B13"/>
    <mergeCell ref="C7:C13"/>
    <mergeCell ref="D7:D13"/>
    <mergeCell ref="E7:E13"/>
    <mergeCell ref="F7:F13"/>
    <mergeCell ref="G7:G13"/>
    <mergeCell ref="V7:V13"/>
    <mergeCell ref="F4:F6"/>
  </mergeCells>
  <pageMargins left="0.70866141732283472" right="0.70866141732283472" top="0.74803149606299213" bottom="0.74803149606299213" header="0.31496062992125984" footer="0.31496062992125984"/>
  <pageSetup scale="2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8"/>
  </sheetPr>
  <dimension ref="A1:AL35"/>
  <sheetViews>
    <sheetView topLeftCell="C1" zoomScale="80" zoomScaleNormal="80" workbookViewId="0">
      <pane xSplit="6" ySplit="3" topLeftCell="AH25" activePane="bottomRight" state="frozen"/>
      <selection activeCell="AN5" sqref="AN5"/>
      <selection pane="topRight" activeCell="AN5" sqref="AN5"/>
      <selection pane="bottomLeft" activeCell="AN5" sqref="AN5"/>
      <selection pane="bottomRight" activeCell="AK42" sqref="AK42"/>
    </sheetView>
  </sheetViews>
  <sheetFormatPr baseColWidth="10" defaultRowHeight="15" x14ac:dyDescent="0.25"/>
  <cols>
    <col min="1" max="1" width="11.42578125" style="886"/>
    <col min="2" max="2" width="24.140625" style="886" customWidth="1"/>
    <col min="3" max="3" width="23" style="886" customWidth="1"/>
    <col min="4" max="4" width="13.42578125" style="886" customWidth="1"/>
    <col min="5" max="5" width="16.28515625" style="886" customWidth="1"/>
    <col min="6" max="6" width="20.7109375" style="886" customWidth="1"/>
    <col min="7" max="7" width="16.42578125" style="886" customWidth="1"/>
    <col min="8" max="8" width="45.7109375" style="886" customWidth="1"/>
    <col min="9" max="9" width="7.42578125" style="886" bestFit="1" customWidth="1"/>
    <col min="10" max="10" width="9.5703125" style="886" bestFit="1" customWidth="1"/>
    <col min="11" max="11" width="8" style="886" bestFit="1" customWidth="1"/>
    <col min="12" max="12" width="6.42578125" style="886" bestFit="1" customWidth="1"/>
    <col min="13" max="14" width="6.7109375" style="886" bestFit="1" customWidth="1"/>
    <col min="15" max="15" width="6.28515625" style="886" bestFit="1" customWidth="1"/>
    <col min="16" max="16" width="8.85546875" style="886" bestFit="1" customWidth="1"/>
    <col min="17" max="17" width="12.42578125" style="886" bestFit="1" customWidth="1"/>
    <col min="18" max="18" width="9.85546875" style="886" bestFit="1" customWidth="1"/>
    <col min="19" max="19" width="12.28515625" style="886" bestFit="1" customWidth="1"/>
    <col min="20" max="20" width="11.28515625" style="886" bestFit="1" customWidth="1"/>
    <col min="21" max="21" width="56" style="886" hidden="1" customWidth="1"/>
    <col min="22" max="22" width="16.28515625" style="886" hidden="1" customWidth="1"/>
    <col min="23" max="23" width="9.28515625" style="886" hidden="1" customWidth="1"/>
    <col min="24" max="24" width="21.85546875" style="886" hidden="1" customWidth="1"/>
    <col min="25" max="25" width="18.85546875" style="886" hidden="1" customWidth="1"/>
    <col min="26" max="26" width="21.42578125" style="886" hidden="1" customWidth="1"/>
    <col min="27" max="27" width="29.140625" style="886" hidden="1" customWidth="1"/>
    <col min="28" max="28" width="77.7109375" style="886" hidden="1" customWidth="1"/>
    <col min="29" max="29" width="18.85546875" style="886" customWidth="1"/>
    <col min="30" max="30" width="21.42578125" style="886" bestFit="1" customWidth="1"/>
    <col min="31" max="31" width="29.140625" style="886" customWidth="1"/>
    <col min="32" max="32" width="47.5703125" style="886" customWidth="1"/>
    <col min="33" max="33" width="77.7109375" style="886" customWidth="1"/>
    <col min="34" max="36" width="11.42578125" style="886"/>
    <col min="37" max="37" width="116.42578125" style="886" customWidth="1"/>
    <col min="38" max="38" width="30.85546875" style="886" customWidth="1"/>
    <col min="39" max="16384" width="11.42578125" style="886"/>
  </cols>
  <sheetData>
    <row r="1" spans="1:38" ht="70.5" customHeight="1" x14ac:dyDescent="0.25">
      <c r="A1" s="2094" t="s">
        <v>2569</v>
      </c>
      <c r="B1" s="2094"/>
      <c r="C1" s="2094"/>
      <c r="D1" s="2094"/>
      <c r="E1" s="2094"/>
      <c r="F1" s="2094"/>
      <c r="G1" s="2094"/>
      <c r="H1" s="2094"/>
      <c r="I1" s="1939" t="s">
        <v>1351</v>
      </c>
      <c r="J1" s="1939"/>
      <c r="K1" s="1939"/>
      <c r="L1" s="1939"/>
      <c r="M1" s="1939"/>
      <c r="N1" s="1939"/>
      <c r="O1" s="1939"/>
      <c r="P1" s="1939"/>
      <c r="Q1" s="1939"/>
      <c r="R1" s="1939"/>
      <c r="S1" s="1939"/>
      <c r="T1" s="1939"/>
      <c r="U1" s="2173" t="s">
        <v>1948</v>
      </c>
      <c r="V1" s="2172"/>
      <c r="W1" s="2172"/>
      <c r="X1" s="2172"/>
      <c r="Y1" s="2173" t="s">
        <v>2138</v>
      </c>
      <c r="Z1" s="2172"/>
      <c r="AA1" s="2172"/>
      <c r="AB1" s="2172"/>
      <c r="AC1" s="2173" t="s">
        <v>2630</v>
      </c>
      <c r="AD1" s="2172"/>
      <c r="AE1" s="2172"/>
      <c r="AF1" s="2172"/>
      <c r="AG1" s="2172"/>
      <c r="AH1" s="2173" t="s">
        <v>2871</v>
      </c>
      <c r="AI1" s="2172"/>
      <c r="AJ1" s="2172"/>
      <c r="AK1" s="2172"/>
      <c r="AL1" s="2172"/>
    </row>
    <row r="2" spans="1:38" x14ac:dyDescent="0.25">
      <c r="A2" s="900"/>
      <c r="B2" s="894"/>
      <c r="C2" s="807"/>
      <c r="D2" s="807"/>
      <c r="E2" s="807"/>
      <c r="F2" s="807"/>
      <c r="G2" s="808"/>
      <c r="H2" s="793"/>
      <c r="V2" s="807"/>
    </row>
    <row r="3" spans="1:38" s="906" customFormat="1" ht="75" x14ac:dyDescent="0.25">
      <c r="A3" s="777" t="s">
        <v>1221</v>
      </c>
      <c r="B3" s="777" t="s">
        <v>47</v>
      </c>
      <c r="C3" s="777" t="s">
        <v>1461</v>
      </c>
      <c r="D3" s="777" t="s">
        <v>1</v>
      </c>
      <c r="E3" s="777" t="s">
        <v>51</v>
      </c>
      <c r="F3" s="777" t="s">
        <v>2216</v>
      </c>
      <c r="G3" s="777" t="s">
        <v>3</v>
      </c>
      <c r="H3" s="777"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1925</v>
      </c>
      <c r="V3" s="779" t="s">
        <v>1926</v>
      </c>
      <c r="W3" s="779" t="s">
        <v>1927</v>
      </c>
      <c r="X3" s="779" t="s">
        <v>1928</v>
      </c>
      <c r="Y3" s="811" t="s">
        <v>1926</v>
      </c>
      <c r="Z3" s="811" t="s">
        <v>1927</v>
      </c>
      <c r="AA3" s="811" t="s">
        <v>2126</v>
      </c>
      <c r="AB3" s="811" t="s">
        <v>1928</v>
      </c>
      <c r="AC3" s="1634" t="s">
        <v>1926</v>
      </c>
      <c r="AD3" s="1634" t="s">
        <v>1927</v>
      </c>
      <c r="AE3" s="1634" t="s">
        <v>2126</v>
      </c>
      <c r="AF3" s="1634" t="s">
        <v>1925</v>
      </c>
      <c r="AG3" s="1634" t="s">
        <v>1928</v>
      </c>
      <c r="AH3" s="1634" t="s">
        <v>1926</v>
      </c>
      <c r="AI3" s="1634" t="s">
        <v>1927</v>
      </c>
      <c r="AJ3" s="1634" t="s">
        <v>2126</v>
      </c>
      <c r="AK3" s="1634" t="s">
        <v>1925</v>
      </c>
      <c r="AL3" s="1634" t="s">
        <v>1928</v>
      </c>
    </row>
    <row r="4" spans="1:38" s="908" customFormat="1" ht="45" x14ac:dyDescent="0.25">
      <c r="A4" s="2095" t="s">
        <v>1535</v>
      </c>
      <c r="B4" s="1952" t="s">
        <v>374</v>
      </c>
      <c r="C4" s="1952" t="s">
        <v>1621</v>
      </c>
      <c r="D4" s="1952" t="s">
        <v>1530</v>
      </c>
      <c r="E4" s="1952" t="s">
        <v>1531</v>
      </c>
      <c r="F4" s="1952" t="s">
        <v>1532</v>
      </c>
      <c r="G4" s="1952" t="s">
        <v>1729</v>
      </c>
      <c r="H4" s="1340" t="s">
        <v>1540</v>
      </c>
      <c r="I4" s="1046"/>
      <c r="J4" s="1041"/>
      <c r="K4" s="1041"/>
      <c r="L4" s="1041"/>
      <c r="M4" s="1041"/>
      <c r="N4" s="1040"/>
      <c r="O4" s="1040"/>
      <c r="P4" s="1041"/>
      <c r="Q4" s="1041"/>
      <c r="R4" s="1040" t="s">
        <v>4</v>
      </c>
      <c r="S4" s="1041"/>
      <c r="T4" s="1377"/>
      <c r="U4" s="2124" t="s">
        <v>1929</v>
      </c>
      <c r="V4" s="1341" t="s">
        <v>1906</v>
      </c>
      <c r="W4" s="2443" t="s">
        <v>1906</v>
      </c>
      <c r="X4" s="2446" t="s">
        <v>2452</v>
      </c>
      <c r="Y4" s="1183">
        <v>1</v>
      </c>
      <c r="Z4" s="2013">
        <v>0.85</v>
      </c>
      <c r="AA4" s="2124" t="s">
        <v>2202</v>
      </c>
      <c r="AB4" s="889" t="s">
        <v>2204</v>
      </c>
      <c r="AC4" s="1665" t="s">
        <v>1906</v>
      </c>
      <c r="AD4" s="2443" t="s">
        <v>1906</v>
      </c>
      <c r="AE4" s="2124" t="s">
        <v>2202</v>
      </c>
      <c r="AF4" s="2124" t="s">
        <v>1929</v>
      </c>
      <c r="AG4" s="2124" t="s">
        <v>2740</v>
      </c>
      <c r="AH4" s="1725">
        <v>1</v>
      </c>
      <c r="AI4" s="1859">
        <f>AVERAGE(AH4,AH5,AH6)</f>
        <v>0.96666666666666667</v>
      </c>
      <c r="AJ4" s="1892" t="s">
        <v>2202</v>
      </c>
      <c r="AK4" s="722" t="s">
        <v>2945</v>
      </c>
      <c r="AL4" s="2124"/>
    </row>
    <row r="5" spans="1:38" s="908" customFormat="1" ht="153" x14ac:dyDescent="0.25">
      <c r="A5" s="2095"/>
      <c r="B5" s="1952"/>
      <c r="C5" s="1952"/>
      <c r="D5" s="1952"/>
      <c r="E5" s="1952"/>
      <c r="F5" s="1952"/>
      <c r="G5" s="1952"/>
      <c r="H5" s="1340" t="s">
        <v>1622</v>
      </c>
      <c r="I5" s="1064"/>
      <c r="J5" s="1044"/>
      <c r="K5" s="1044"/>
      <c r="L5" s="1044"/>
      <c r="M5" s="1044"/>
      <c r="N5" s="1043"/>
      <c r="O5" s="1043"/>
      <c r="P5" s="1044"/>
      <c r="Q5" s="1044"/>
      <c r="R5" s="1044"/>
      <c r="S5" s="1043" t="s">
        <v>4</v>
      </c>
      <c r="T5" s="1130" t="s">
        <v>4</v>
      </c>
      <c r="U5" s="2258"/>
      <c r="V5" s="1342" t="s">
        <v>1906</v>
      </c>
      <c r="W5" s="2444"/>
      <c r="X5" s="2447"/>
      <c r="Y5" s="1183">
        <v>0.7</v>
      </c>
      <c r="Z5" s="1952"/>
      <c r="AA5" s="2258"/>
      <c r="AB5" s="889" t="s">
        <v>2203</v>
      </c>
      <c r="AC5" s="1666" t="s">
        <v>1906</v>
      </c>
      <c r="AD5" s="2444"/>
      <c r="AE5" s="2258"/>
      <c r="AF5" s="2258"/>
      <c r="AG5" s="2258" t="s">
        <v>2203</v>
      </c>
      <c r="AH5" s="1725">
        <v>0.9</v>
      </c>
      <c r="AI5" s="1848"/>
      <c r="AJ5" s="1893"/>
      <c r="AK5" s="722" t="s">
        <v>2946</v>
      </c>
      <c r="AL5" s="2258"/>
    </row>
    <row r="6" spans="1:38" s="908" customFormat="1" ht="178.5" x14ac:dyDescent="0.25">
      <c r="A6" s="2095"/>
      <c r="B6" s="1952"/>
      <c r="C6" s="1952"/>
      <c r="D6" s="1952"/>
      <c r="E6" s="1952"/>
      <c r="F6" s="1952"/>
      <c r="G6" s="1952"/>
      <c r="H6" s="1340" t="s">
        <v>1533</v>
      </c>
      <c r="I6" s="1065"/>
      <c r="J6" s="1059"/>
      <c r="K6" s="1059"/>
      <c r="L6" s="1059"/>
      <c r="M6" s="1059"/>
      <c r="N6" s="1058"/>
      <c r="O6" s="1058"/>
      <c r="P6" s="1058"/>
      <c r="Q6" s="1059"/>
      <c r="R6" s="1059"/>
      <c r="S6" s="1058" t="s">
        <v>4</v>
      </c>
      <c r="T6" s="1196" t="s">
        <v>4</v>
      </c>
      <c r="U6" s="2259"/>
      <c r="V6" s="1343" t="s">
        <v>1906</v>
      </c>
      <c r="W6" s="2445"/>
      <c r="X6" s="2448"/>
      <c r="Y6" s="1183" t="s">
        <v>353</v>
      </c>
      <c r="Z6" s="1952"/>
      <c r="AA6" s="746" t="s">
        <v>2453</v>
      </c>
      <c r="AB6" s="889" t="s">
        <v>1929</v>
      </c>
      <c r="AC6" s="1667" t="s">
        <v>1906</v>
      </c>
      <c r="AD6" s="2445"/>
      <c r="AE6" s="1660" t="s">
        <v>2453</v>
      </c>
      <c r="AF6" s="2259"/>
      <c r="AG6" s="2259" t="s">
        <v>1929</v>
      </c>
      <c r="AH6" s="1725">
        <v>1</v>
      </c>
      <c r="AI6" s="1848"/>
      <c r="AJ6" s="1723" t="s">
        <v>2964</v>
      </c>
      <c r="AK6" s="722" t="s">
        <v>2947</v>
      </c>
      <c r="AL6" s="2259"/>
    </row>
    <row r="7" spans="1:38" s="908" customFormat="1" ht="210" x14ac:dyDescent="0.25">
      <c r="A7" s="2095"/>
      <c r="B7" s="1986" t="s">
        <v>374</v>
      </c>
      <c r="C7" s="1952" t="s">
        <v>1774</v>
      </c>
      <c r="D7" s="1952" t="s">
        <v>1534</v>
      </c>
      <c r="E7" s="1952" t="s">
        <v>1775</v>
      </c>
      <c r="F7" s="1952" t="s">
        <v>1775</v>
      </c>
      <c r="G7" s="1952" t="s">
        <v>1729</v>
      </c>
      <c r="H7" s="1170" t="s">
        <v>1930</v>
      </c>
      <c r="I7" s="1046"/>
      <c r="J7" s="1041"/>
      <c r="K7" s="1041"/>
      <c r="L7" s="1041"/>
      <c r="M7" s="1041"/>
      <c r="N7" s="1041"/>
      <c r="O7" s="1041"/>
      <c r="P7" s="1041"/>
      <c r="Q7" s="1041"/>
      <c r="R7" s="1041"/>
      <c r="S7" s="1041"/>
      <c r="T7" s="1363" t="s">
        <v>4</v>
      </c>
      <c r="U7" s="1512" t="s">
        <v>2454</v>
      </c>
      <c r="V7" s="1345" t="s">
        <v>1906</v>
      </c>
      <c r="W7" s="2449" t="s">
        <v>1906</v>
      </c>
      <c r="X7" s="2452" t="s">
        <v>2455</v>
      </c>
      <c r="Y7" s="1183" t="s">
        <v>353</v>
      </c>
      <c r="Z7" s="2440" t="s">
        <v>353</v>
      </c>
      <c r="AA7" s="2348" t="s">
        <v>2472</v>
      </c>
      <c r="AB7" s="759" t="s">
        <v>2473</v>
      </c>
      <c r="AC7" s="1668" t="s">
        <v>1906</v>
      </c>
      <c r="AD7" s="2449" t="s">
        <v>1906</v>
      </c>
      <c r="AE7" s="2348" t="s">
        <v>2472</v>
      </c>
      <c r="AF7" s="1512" t="s">
        <v>2741</v>
      </c>
      <c r="AG7" s="1661" t="s">
        <v>2740</v>
      </c>
      <c r="AH7" s="1725">
        <v>0.75</v>
      </c>
      <c r="AI7" s="2461">
        <f>AVERAGE(AH7:AH9)</f>
        <v>0.75</v>
      </c>
      <c r="AJ7" s="2464" t="s">
        <v>2965</v>
      </c>
      <c r="AK7" s="1790" t="s">
        <v>2948</v>
      </c>
      <c r="AL7" s="1741"/>
    </row>
    <row r="8" spans="1:38" s="908" customFormat="1" ht="225" x14ac:dyDescent="0.25">
      <c r="A8" s="2095"/>
      <c r="B8" s="1986"/>
      <c r="C8" s="1952"/>
      <c r="D8" s="1952"/>
      <c r="E8" s="1952"/>
      <c r="F8" s="1952"/>
      <c r="G8" s="1952"/>
      <c r="H8" s="1170" t="s">
        <v>1931</v>
      </c>
      <c r="I8" s="1064"/>
      <c r="J8" s="1044"/>
      <c r="K8" s="1044"/>
      <c r="L8" s="1044"/>
      <c r="M8" s="1044"/>
      <c r="N8" s="1044"/>
      <c r="O8" s="1044"/>
      <c r="P8" s="1044"/>
      <c r="Q8" s="1044"/>
      <c r="R8" s="1044"/>
      <c r="S8" s="1364" t="s">
        <v>4</v>
      </c>
      <c r="T8" s="1378"/>
      <c r="U8" s="1346" t="s">
        <v>1932</v>
      </c>
      <c r="V8" s="1347" t="s">
        <v>1906</v>
      </c>
      <c r="W8" s="2450"/>
      <c r="X8" s="2453"/>
      <c r="Y8" s="1183" t="s">
        <v>353</v>
      </c>
      <c r="Z8" s="2441"/>
      <c r="AA8" s="2350"/>
      <c r="AB8" s="759" t="s">
        <v>2474</v>
      </c>
      <c r="AC8" s="1669" t="s">
        <v>1906</v>
      </c>
      <c r="AD8" s="2450"/>
      <c r="AE8" s="2350"/>
      <c r="AF8" s="1670" t="s">
        <v>2742</v>
      </c>
      <c r="AG8" s="1960"/>
      <c r="AH8" s="1725" t="s">
        <v>353</v>
      </c>
      <c r="AI8" s="2462"/>
      <c r="AJ8" s="2465"/>
      <c r="AK8" s="722" t="s">
        <v>2949</v>
      </c>
      <c r="AL8" s="1960"/>
    </row>
    <row r="9" spans="1:38" s="908" customFormat="1" ht="240" x14ac:dyDescent="0.25">
      <c r="A9" s="2095"/>
      <c r="B9" s="1986"/>
      <c r="C9" s="1952"/>
      <c r="D9" s="1952"/>
      <c r="E9" s="1952"/>
      <c r="F9" s="1952"/>
      <c r="G9" s="1952"/>
      <c r="H9" s="1170" t="s">
        <v>1933</v>
      </c>
      <c r="I9" s="1065"/>
      <c r="J9" s="1059"/>
      <c r="K9" s="1059"/>
      <c r="L9" s="1059"/>
      <c r="M9" s="1059"/>
      <c r="N9" s="1059"/>
      <c r="O9" s="1059"/>
      <c r="P9" s="1059"/>
      <c r="Q9" s="1059"/>
      <c r="R9" s="1059"/>
      <c r="S9" s="1059"/>
      <c r="T9" s="1365" t="s">
        <v>4</v>
      </c>
      <c r="U9" s="1348" t="s">
        <v>1934</v>
      </c>
      <c r="V9" s="1349" t="s">
        <v>1906</v>
      </c>
      <c r="W9" s="2451"/>
      <c r="X9" s="2454"/>
      <c r="Y9" s="966" t="s">
        <v>1906</v>
      </c>
      <c r="Z9" s="2442"/>
      <c r="AA9" s="1271" t="s">
        <v>2456</v>
      </c>
      <c r="AB9" s="889" t="s">
        <v>2205</v>
      </c>
      <c r="AC9" s="1671" t="s">
        <v>1906</v>
      </c>
      <c r="AD9" s="2451"/>
      <c r="AE9" s="1271" t="s">
        <v>2456</v>
      </c>
      <c r="AF9" s="1672" t="s">
        <v>2743</v>
      </c>
      <c r="AG9" s="1962"/>
      <c r="AH9" s="1725" t="s">
        <v>353</v>
      </c>
      <c r="AI9" s="2463"/>
      <c r="AJ9" s="1726"/>
      <c r="AK9" s="722" t="s">
        <v>2205</v>
      </c>
      <c r="AL9" s="1962"/>
    </row>
    <row r="10" spans="1:38" s="908" customFormat="1" ht="150" x14ac:dyDescent="0.25">
      <c r="A10" s="2095"/>
      <c r="B10" s="1952" t="s">
        <v>374</v>
      </c>
      <c r="C10" s="1952" t="s">
        <v>1778</v>
      </c>
      <c r="D10" s="1952">
        <v>2</v>
      </c>
      <c r="E10" s="1952" t="s">
        <v>1776</v>
      </c>
      <c r="F10" s="1952" t="s">
        <v>1777</v>
      </c>
      <c r="G10" s="1952" t="s">
        <v>1729</v>
      </c>
      <c r="H10" s="1187" t="s">
        <v>2475</v>
      </c>
      <c r="I10" s="1060"/>
      <c r="J10" s="1050"/>
      <c r="K10" s="1050"/>
      <c r="L10" s="1050"/>
      <c r="M10" s="1050"/>
      <c r="N10" s="1050"/>
      <c r="O10" s="1050"/>
      <c r="P10" s="1050"/>
      <c r="Q10" s="1050"/>
      <c r="R10" s="1050"/>
      <c r="S10" s="1050"/>
      <c r="T10" s="1366" t="s">
        <v>1397</v>
      </c>
      <c r="U10" s="1344" t="s">
        <v>1929</v>
      </c>
      <c r="V10" s="1351" t="s">
        <v>1906</v>
      </c>
      <c r="W10" s="2455" t="s">
        <v>1906</v>
      </c>
      <c r="X10" s="2124" t="s">
        <v>2457</v>
      </c>
      <c r="Y10" s="993">
        <v>1</v>
      </c>
      <c r="Z10" s="2129">
        <v>1</v>
      </c>
      <c r="AA10" s="1350" t="s">
        <v>2206</v>
      </c>
      <c r="AB10" s="759" t="s">
        <v>2458</v>
      </c>
      <c r="AC10" s="1673" t="s">
        <v>1906</v>
      </c>
      <c r="AD10" s="2455" t="s">
        <v>1906</v>
      </c>
      <c r="AE10" s="1271" t="s">
        <v>2206</v>
      </c>
      <c r="AF10" s="1512" t="s">
        <v>1929</v>
      </c>
      <c r="AG10" s="1960" t="s">
        <v>2744</v>
      </c>
      <c r="AH10" s="1724">
        <v>1</v>
      </c>
      <c r="AI10" s="1889">
        <v>1</v>
      </c>
      <c r="AJ10" s="1726" t="s">
        <v>2206</v>
      </c>
      <c r="AK10" s="722" t="s">
        <v>2950</v>
      </c>
      <c r="AL10" s="1960"/>
    </row>
    <row r="11" spans="1:38" s="908" customFormat="1" ht="191.25" x14ac:dyDescent="0.25">
      <c r="A11" s="2095"/>
      <c r="B11" s="1952"/>
      <c r="C11" s="1952"/>
      <c r="D11" s="1952"/>
      <c r="E11" s="1952"/>
      <c r="F11" s="1952"/>
      <c r="G11" s="1952"/>
      <c r="H11" s="1170" t="s">
        <v>1148</v>
      </c>
      <c r="I11" s="1055"/>
      <c r="J11" s="1056"/>
      <c r="K11" s="1056"/>
      <c r="L11" s="1056"/>
      <c r="M11" s="1056"/>
      <c r="N11" s="1056"/>
      <c r="O11" s="1056"/>
      <c r="P11" s="1056"/>
      <c r="Q11" s="1056"/>
      <c r="R11" s="1056"/>
      <c r="S11" s="1056"/>
      <c r="T11" s="1367" t="s">
        <v>1397</v>
      </c>
      <c r="U11" s="1352" t="s">
        <v>1934</v>
      </c>
      <c r="V11" s="1349" t="s">
        <v>1906</v>
      </c>
      <c r="W11" s="2439"/>
      <c r="X11" s="2259"/>
      <c r="Y11" s="993" t="s">
        <v>353</v>
      </c>
      <c r="Z11" s="2439"/>
      <c r="AA11" s="1271" t="s">
        <v>2459</v>
      </c>
      <c r="AB11" s="914" t="s">
        <v>1934</v>
      </c>
      <c r="AC11" s="1671" t="s">
        <v>1906</v>
      </c>
      <c r="AD11" s="2439"/>
      <c r="AE11" s="1271" t="s">
        <v>2459</v>
      </c>
      <c r="AF11" s="1674" t="s">
        <v>2745</v>
      </c>
      <c r="AG11" s="1962"/>
      <c r="AH11" s="1724">
        <v>1</v>
      </c>
      <c r="AI11" s="1847"/>
      <c r="AJ11" s="1726" t="s">
        <v>2966</v>
      </c>
      <c r="AK11" s="1791" t="s">
        <v>2951</v>
      </c>
      <c r="AL11" s="1962"/>
    </row>
    <row r="12" spans="1:38" s="908" customFormat="1" ht="63.75" x14ac:dyDescent="0.25">
      <c r="A12" s="2095"/>
      <c r="B12" s="1952" t="s">
        <v>374</v>
      </c>
      <c r="C12" s="1952" t="s">
        <v>1149</v>
      </c>
      <c r="D12" s="1952">
        <v>7</v>
      </c>
      <c r="E12" s="1952" t="s">
        <v>1150</v>
      </c>
      <c r="F12" s="1952" t="s">
        <v>1151</v>
      </c>
      <c r="G12" s="1952" t="s">
        <v>1729</v>
      </c>
      <c r="H12" s="1170" t="s">
        <v>1152</v>
      </c>
      <c r="I12" s="1060"/>
      <c r="J12" s="1050"/>
      <c r="K12" s="1050"/>
      <c r="L12" s="1050"/>
      <c r="M12" s="1050"/>
      <c r="N12" s="1366"/>
      <c r="O12" s="1050"/>
      <c r="P12" s="1050"/>
      <c r="Q12" s="1050"/>
      <c r="R12" s="1050"/>
      <c r="S12" s="1050"/>
      <c r="T12" s="1366" t="s">
        <v>1397</v>
      </c>
      <c r="U12" s="1353" t="s">
        <v>1935</v>
      </c>
      <c r="V12" s="1345" t="s">
        <v>1906</v>
      </c>
      <c r="W12" s="2456">
        <v>1</v>
      </c>
      <c r="X12" s="2446" t="s">
        <v>2460</v>
      </c>
      <c r="Y12" s="993" t="s">
        <v>353</v>
      </c>
      <c r="Z12" s="2129">
        <v>1</v>
      </c>
      <c r="AA12" s="1350" t="s">
        <v>2211</v>
      </c>
      <c r="AB12" s="889" t="s">
        <v>2207</v>
      </c>
      <c r="AC12" s="1668" t="s">
        <v>1906</v>
      </c>
      <c r="AD12" s="2456">
        <v>1</v>
      </c>
      <c r="AE12" s="1271" t="s">
        <v>2211</v>
      </c>
      <c r="AF12" s="791" t="s">
        <v>2746</v>
      </c>
      <c r="AG12" s="1661" t="s">
        <v>2744</v>
      </c>
      <c r="AH12" s="1724">
        <v>0.9</v>
      </c>
      <c r="AI12" s="1889">
        <f>AVERAGE(AH12:AH18)</f>
        <v>0.9285714285714286</v>
      </c>
      <c r="AJ12" s="1726" t="s">
        <v>2211</v>
      </c>
      <c r="AK12" s="1791" t="s">
        <v>2952</v>
      </c>
      <c r="AL12" s="1741"/>
    </row>
    <row r="13" spans="1:38" s="908" customFormat="1" ht="105" x14ac:dyDescent="0.25">
      <c r="A13" s="2095"/>
      <c r="B13" s="1952"/>
      <c r="C13" s="1952"/>
      <c r="D13" s="1952"/>
      <c r="E13" s="1952"/>
      <c r="F13" s="1952"/>
      <c r="G13" s="1952"/>
      <c r="H13" s="1170" t="s">
        <v>1153</v>
      </c>
      <c r="I13" s="1086"/>
      <c r="J13" s="1087"/>
      <c r="K13" s="1087"/>
      <c r="L13" s="1087"/>
      <c r="M13" s="1087"/>
      <c r="N13" s="1368"/>
      <c r="O13" s="1087"/>
      <c r="P13" s="1087"/>
      <c r="Q13" s="1087"/>
      <c r="R13" s="1087"/>
      <c r="S13" s="1087"/>
      <c r="T13" s="1368" t="s">
        <v>1397</v>
      </c>
      <c r="U13" s="1353" t="s">
        <v>1936</v>
      </c>
      <c r="V13" s="1354" t="s">
        <v>1906</v>
      </c>
      <c r="W13" s="2457"/>
      <c r="X13" s="2447"/>
      <c r="Y13" s="993">
        <v>1</v>
      </c>
      <c r="Z13" s="2439"/>
      <c r="AA13" s="1271" t="s">
        <v>2461</v>
      </c>
      <c r="AB13" s="759" t="s">
        <v>2208</v>
      </c>
      <c r="AC13" s="1675" t="s">
        <v>1906</v>
      </c>
      <c r="AD13" s="2457"/>
      <c r="AE13" s="1271" t="s">
        <v>2461</v>
      </c>
      <c r="AF13" s="791" t="s">
        <v>2747</v>
      </c>
      <c r="AG13" s="1661" t="s">
        <v>2744</v>
      </c>
      <c r="AH13" s="1724">
        <v>1</v>
      </c>
      <c r="AI13" s="1847"/>
      <c r="AJ13" s="1726" t="s">
        <v>2967</v>
      </c>
      <c r="AK13" s="1170" t="s">
        <v>2953</v>
      </c>
      <c r="AL13" s="1741"/>
    </row>
    <row r="14" spans="1:38" s="908" customFormat="1" ht="165" x14ac:dyDescent="0.25">
      <c r="A14" s="2095"/>
      <c r="B14" s="1952"/>
      <c r="C14" s="1952"/>
      <c r="D14" s="1952"/>
      <c r="E14" s="1952"/>
      <c r="F14" s="1952"/>
      <c r="G14" s="1952"/>
      <c r="H14" s="1170" t="s">
        <v>1154</v>
      </c>
      <c r="I14" s="1086"/>
      <c r="J14" s="1087"/>
      <c r="K14" s="1087"/>
      <c r="L14" s="1087"/>
      <c r="M14" s="1087"/>
      <c r="N14" s="1052"/>
      <c r="O14" s="1087"/>
      <c r="P14" s="1087"/>
      <c r="Q14" s="1087"/>
      <c r="R14" s="1087"/>
      <c r="S14" s="1368" t="s">
        <v>1397</v>
      </c>
      <c r="T14" s="1052"/>
      <c r="U14" s="791" t="s">
        <v>2462</v>
      </c>
      <c r="V14" s="1354" t="s">
        <v>1906</v>
      </c>
      <c r="W14" s="2457"/>
      <c r="X14" s="2447"/>
      <c r="Y14" s="993" t="s">
        <v>353</v>
      </c>
      <c r="Z14" s="2439"/>
      <c r="AA14" s="1350" t="s">
        <v>2215</v>
      </c>
      <c r="AB14" s="759" t="s">
        <v>2463</v>
      </c>
      <c r="AC14" s="1675" t="s">
        <v>1906</v>
      </c>
      <c r="AD14" s="2457"/>
      <c r="AE14" s="1271" t="s">
        <v>2215</v>
      </c>
      <c r="AF14" s="791" t="s">
        <v>2748</v>
      </c>
      <c r="AG14" s="1661" t="s">
        <v>2744</v>
      </c>
      <c r="AH14" s="1724">
        <v>0.6</v>
      </c>
      <c r="AI14" s="1847"/>
      <c r="AJ14" s="1726" t="s">
        <v>2215</v>
      </c>
      <c r="AK14" s="1793" t="s">
        <v>2954</v>
      </c>
      <c r="AL14" s="1741"/>
    </row>
    <row r="15" spans="1:38" s="908" customFormat="1" ht="90" x14ac:dyDescent="0.25">
      <c r="A15" s="2095"/>
      <c r="B15" s="1952"/>
      <c r="C15" s="1952"/>
      <c r="D15" s="1952"/>
      <c r="E15" s="1952"/>
      <c r="F15" s="1952"/>
      <c r="G15" s="1952"/>
      <c r="H15" s="1170" t="s">
        <v>1155</v>
      </c>
      <c r="I15" s="1086"/>
      <c r="J15" s="1087"/>
      <c r="K15" s="1087"/>
      <c r="L15" s="1087"/>
      <c r="M15" s="1087"/>
      <c r="N15" s="1052"/>
      <c r="O15" s="1087"/>
      <c r="P15" s="1087"/>
      <c r="Q15" s="1087"/>
      <c r="R15" s="1087"/>
      <c r="S15" s="1368" t="s">
        <v>1397</v>
      </c>
      <c r="T15" s="1052"/>
      <c r="U15" s="1353" t="s">
        <v>1937</v>
      </c>
      <c r="V15" s="1354" t="s">
        <v>1906</v>
      </c>
      <c r="W15" s="2457"/>
      <c r="X15" s="2447"/>
      <c r="Y15" s="993" t="s">
        <v>353</v>
      </c>
      <c r="Z15" s="2439"/>
      <c r="AA15" s="1350" t="s">
        <v>2211</v>
      </c>
      <c r="AB15" s="889" t="s">
        <v>2214</v>
      </c>
      <c r="AC15" s="1675" t="s">
        <v>1906</v>
      </c>
      <c r="AD15" s="2457"/>
      <c r="AE15" s="1271" t="s">
        <v>2211</v>
      </c>
      <c r="AF15" s="791" t="s">
        <v>2749</v>
      </c>
      <c r="AG15" s="1661" t="s">
        <v>2744</v>
      </c>
      <c r="AH15" s="1724">
        <v>1</v>
      </c>
      <c r="AI15" s="1847"/>
      <c r="AJ15" s="1726" t="s">
        <v>2211</v>
      </c>
      <c r="AK15" s="722" t="s">
        <v>2955</v>
      </c>
      <c r="AL15" s="1741"/>
    </row>
    <row r="16" spans="1:38" s="908" customFormat="1" ht="105" x14ac:dyDescent="0.25">
      <c r="A16" s="2095"/>
      <c r="B16" s="1952"/>
      <c r="C16" s="1952"/>
      <c r="D16" s="1952"/>
      <c r="E16" s="1952"/>
      <c r="F16" s="1952"/>
      <c r="G16" s="1952"/>
      <c r="H16" s="1170" t="s">
        <v>1156</v>
      </c>
      <c r="I16" s="1086"/>
      <c r="J16" s="1379"/>
      <c r="K16" s="1052" t="s">
        <v>1397</v>
      </c>
      <c r="L16" s="1087"/>
      <c r="M16" s="1087"/>
      <c r="N16" s="1052"/>
      <c r="O16" s="1368"/>
      <c r="P16" s="1368" t="s">
        <v>1397</v>
      </c>
      <c r="Q16" s="1087"/>
      <c r="R16" s="1087"/>
      <c r="S16" s="1087"/>
      <c r="T16" s="1052"/>
      <c r="U16" s="1353" t="s">
        <v>1938</v>
      </c>
      <c r="V16" s="1354" t="s">
        <v>1939</v>
      </c>
      <c r="W16" s="2457"/>
      <c r="X16" s="2447"/>
      <c r="Y16" s="993" t="s">
        <v>353</v>
      </c>
      <c r="Z16" s="2439"/>
      <c r="AA16" s="1350" t="s">
        <v>2211</v>
      </c>
      <c r="AB16" s="759" t="s">
        <v>2464</v>
      </c>
      <c r="AC16" s="1676">
        <v>1</v>
      </c>
      <c r="AD16" s="2457"/>
      <c r="AE16" s="1271" t="s">
        <v>2211</v>
      </c>
      <c r="AF16" s="791" t="s">
        <v>2750</v>
      </c>
      <c r="AG16" s="1661" t="s">
        <v>2464</v>
      </c>
      <c r="AH16" s="1724">
        <v>1</v>
      </c>
      <c r="AI16" s="1847"/>
      <c r="AJ16" s="1726" t="s">
        <v>2211</v>
      </c>
      <c r="AK16" s="722" t="s">
        <v>2956</v>
      </c>
      <c r="AL16" s="1741"/>
    </row>
    <row r="17" spans="1:38" s="908" customFormat="1" ht="127.5" x14ac:dyDescent="0.25">
      <c r="A17" s="2095"/>
      <c r="B17" s="1952"/>
      <c r="C17" s="1952"/>
      <c r="D17" s="1952"/>
      <c r="E17" s="1952"/>
      <c r="F17" s="1952"/>
      <c r="G17" s="1952"/>
      <c r="H17" s="1170" t="s">
        <v>1157</v>
      </c>
      <c r="I17" s="1086"/>
      <c r="J17" s="1087"/>
      <c r="K17" s="1087"/>
      <c r="L17" s="1087"/>
      <c r="M17" s="1087"/>
      <c r="N17" s="1368"/>
      <c r="O17" s="1087"/>
      <c r="P17" s="1087"/>
      <c r="Q17" s="1087"/>
      <c r="R17" s="1087"/>
      <c r="S17" s="1087"/>
      <c r="T17" s="1368" t="s">
        <v>1397</v>
      </c>
      <c r="U17" s="1353" t="s">
        <v>1934</v>
      </c>
      <c r="V17" s="1354" t="s">
        <v>1906</v>
      </c>
      <c r="W17" s="2457"/>
      <c r="X17" s="2447"/>
      <c r="Y17" s="993">
        <v>1</v>
      </c>
      <c r="Z17" s="2439"/>
      <c r="AA17" s="1271" t="s">
        <v>2465</v>
      </c>
      <c r="AB17" s="914" t="s">
        <v>2209</v>
      </c>
      <c r="AC17" s="1675" t="s">
        <v>1906</v>
      </c>
      <c r="AD17" s="2457"/>
      <c r="AE17" s="1271" t="s">
        <v>2465</v>
      </c>
      <c r="AF17" s="1674" t="s">
        <v>2745</v>
      </c>
      <c r="AG17" s="1661" t="s">
        <v>2744</v>
      </c>
      <c r="AH17" s="1724">
        <v>1</v>
      </c>
      <c r="AI17" s="1847"/>
      <c r="AJ17" s="1726" t="s">
        <v>2968</v>
      </c>
      <c r="AK17" s="1794" t="s">
        <v>2957</v>
      </c>
      <c r="AL17" s="1741"/>
    </row>
    <row r="18" spans="1:38" s="908" customFormat="1" ht="127.5" x14ac:dyDescent="0.25">
      <c r="A18" s="2095"/>
      <c r="B18" s="1952"/>
      <c r="C18" s="1952"/>
      <c r="D18" s="1952"/>
      <c r="E18" s="1952"/>
      <c r="F18" s="1952"/>
      <c r="G18" s="1952"/>
      <c r="H18" s="1170" t="s">
        <v>1158</v>
      </c>
      <c r="I18" s="1055"/>
      <c r="J18" s="1056"/>
      <c r="K18" s="1056"/>
      <c r="L18" s="1056"/>
      <c r="M18" s="1056"/>
      <c r="N18" s="1367"/>
      <c r="O18" s="1056"/>
      <c r="P18" s="1056"/>
      <c r="Q18" s="1056"/>
      <c r="R18" s="1056"/>
      <c r="S18" s="1056"/>
      <c r="T18" s="1367" t="s">
        <v>1397</v>
      </c>
      <c r="U18" s="1353" t="s">
        <v>1934</v>
      </c>
      <c r="V18" s="1349" t="s">
        <v>1906</v>
      </c>
      <c r="W18" s="2458"/>
      <c r="X18" s="2448"/>
      <c r="Y18" s="993" t="s">
        <v>353</v>
      </c>
      <c r="Z18" s="2439"/>
      <c r="AA18" s="1271" t="s">
        <v>2456</v>
      </c>
      <c r="AB18" s="914" t="s">
        <v>2210</v>
      </c>
      <c r="AC18" s="1671" t="s">
        <v>1906</v>
      </c>
      <c r="AD18" s="2458"/>
      <c r="AE18" s="1271" t="s">
        <v>2456</v>
      </c>
      <c r="AF18" s="1674" t="s">
        <v>2745</v>
      </c>
      <c r="AG18" s="1661" t="s">
        <v>2744</v>
      </c>
      <c r="AH18" s="1724">
        <v>1</v>
      </c>
      <c r="AI18" s="1847"/>
      <c r="AJ18" s="1726" t="s">
        <v>2969</v>
      </c>
      <c r="AK18" s="722" t="s">
        <v>2958</v>
      </c>
      <c r="AL18" s="1741"/>
    </row>
    <row r="19" spans="1:38" s="908" customFormat="1" ht="127.5" x14ac:dyDescent="0.25">
      <c r="A19" s="2095"/>
      <c r="B19" s="1952" t="s">
        <v>374</v>
      </c>
      <c r="C19" s="1952" t="s">
        <v>1733</v>
      </c>
      <c r="D19" s="1952">
        <v>1</v>
      </c>
      <c r="E19" s="1952" t="s">
        <v>1779</v>
      </c>
      <c r="F19" s="1952" t="s">
        <v>1160</v>
      </c>
      <c r="G19" s="1952" t="s">
        <v>1729</v>
      </c>
      <c r="H19" s="1170" t="s">
        <v>1163</v>
      </c>
      <c r="I19" s="1060"/>
      <c r="J19" s="1050"/>
      <c r="K19" s="1050"/>
      <c r="L19" s="1050"/>
      <c r="M19" s="1050"/>
      <c r="N19" s="1366" t="s">
        <v>1397</v>
      </c>
      <c r="O19" s="1050"/>
      <c r="P19" s="1050"/>
      <c r="Q19" s="1050"/>
      <c r="R19" s="1050"/>
      <c r="S19" s="1050"/>
      <c r="T19" s="1369" t="s">
        <v>1397</v>
      </c>
      <c r="U19" s="1353" t="s">
        <v>2369</v>
      </c>
      <c r="V19" s="1345" t="s">
        <v>1906</v>
      </c>
      <c r="W19" s="2456">
        <v>1</v>
      </c>
      <c r="X19" s="1513" t="s">
        <v>2466</v>
      </c>
      <c r="Y19" s="993">
        <v>0.5</v>
      </c>
      <c r="Z19" s="2129">
        <v>0.75</v>
      </c>
      <c r="AA19" s="1271" t="s">
        <v>2456</v>
      </c>
      <c r="AB19" s="914" t="s">
        <v>2210</v>
      </c>
      <c r="AC19" s="1668" t="s">
        <v>1906</v>
      </c>
      <c r="AD19" s="2456">
        <v>1</v>
      </c>
      <c r="AE19" s="1271" t="s">
        <v>2456</v>
      </c>
      <c r="AF19" s="1674" t="s">
        <v>2745</v>
      </c>
      <c r="AG19" s="1661" t="s">
        <v>2744</v>
      </c>
      <c r="AH19" s="1724">
        <v>1</v>
      </c>
      <c r="AI19" s="1889">
        <v>1</v>
      </c>
      <c r="AJ19" s="1726" t="s">
        <v>2969</v>
      </c>
      <c r="AK19" s="722" t="s">
        <v>2959</v>
      </c>
      <c r="AL19" s="1741"/>
    </row>
    <row r="20" spans="1:38" s="908" customFormat="1" ht="285" x14ac:dyDescent="0.2">
      <c r="A20" s="2095"/>
      <c r="B20" s="1952"/>
      <c r="C20" s="1952"/>
      <c r="D20" s="1952"/>
      <c r="E20" s="1952"/>
      <c r="F20" s="1952"/>
      <c r="G20" s="1952"/>
      <c r="H20" s="1170" t="s">
        <v>1164</v>
      </c>
      <c r="I20" s="1055"/>
      <c r="J20" s="1056"/>
      <c r="K20" s="1367" t="s">
        <v>1397</v>
      </c>
      <c r="L20" s="1056"/>
      <c r="M20" s="1056"/>
      <c r="N20" s="1367" t="s">
        <v>1397</v>
      </c>
      <c r="O20" s="1056"/>
      <c r="P20" s="1056"/>
      <c r="Q20" s="1367" t="s">
        <v>1397</v>
      </c>
      <c r="R20" s="1056"/>
      <c r="S20" s="1056"/>
      <c r="T20" s="1370" t="s">
        <v>1397</v>
      </c>
      <c r="U20" s="791" t="s">
        <v>2467</v>
      </c>
      <c r="V20" s="1355">
        <v>1</v>
      </c>
      <c r="W20" s="2458"/>
      <c r="X20" s="1356" t="s">
        <v>1940</v>
      </c>
      <c r="Y20" s="993">
        <v>1</v>
      </c>
      <c r="Z20" s="2439"/>
      <c r="AA20" s="1182" t="s">
        <v>2468</v>
      </c>
      <c r="AB20" s="759" t="s">
        <v>2469</v>
      </c>
      <c r="AC20" s="1677">
        <v>1</v>
      </c>
      <c r="AD20" s="2458"/>
      <c r="AE20" s="1662" t="s">
        <v>2468</v>
      </c>
      <c r="AF20" s="791" t="s">
        <v>2751</v>
      </c>
      <c r="AG20" s="1661"/>
      <c r="AH20" s="1724">
        <v>1</v>
      </c>
      <c r="AI20" s="1847"/>
      <c r="AJ20" s="1725" t="s">
        <v>2970</v>
      </c>
      <c r="AK20" s="1792"/>
      <c r="AL20" s="1741"/>
    </row>
    <row r="21" spans="1:38" s="908" customFormat="1" ht="127.5" x14ac:dyDescent="0.25">
      <c r="A21" s="2095"/>
      <c r="B21" s="1952" t="s">
        <v>374</v>
      </c>
      <c r="C21" s="1952" t="s">
        <v>1782</v>
      </c>
      <c r="D21" s="1952">
        <v>2</v>
      </c>
      <c r="E21" s="1952" t="s">
        <v>1780</v>
      </c>
      <c r="F21" s="1952" t="s">
        <v>1781</v>
      </c>
      <c r="G21" s="1952" t="s">
        <v>1729</v>
      </c>
      <c r="H21" s="1170" t="s">
        <v>1169</v>
      </c>
      <c r="I21" s="1062"/>
      <c r="J21" s="1063"/>
      <c r="K21" s="1063"/>
      <c r="L21" s="1063"/>
      <c r="M21" s="1063"/>
      <c r="N21" s="1371" t="s">
        <v>1397</v>
      </c>
      <c r="O21" s="1063"/>
      <c r="P21" s="1063"/>
      <c r="Q21" s="1063"/>
      <c r="R21" s="1063"/>
      <c r="S21" s="1063"/>
      <c r="T21" s="1372" t="s">
        <v>1397</v>
      </c>
      <c r="U21" s="1357" t="s">
        <v>1934</v>
      </c>
      <c r="V21" s="1358" t="s">
        <v>1906</v>
      </c>
      <c r="W21" s="2438">
        <v>0.8</v>
      </c>
      <c r="X21" s="2124"/>
      <c r="Y21" s="993">
        <v>0.5</v>
      </c>
      <c r="Z21" s="2129">
        <v>0.82</v>
      </c>
      <c r="AA21" s="1271" t="s">
        <v>2456</v>
      </c>
      <c r="AB21" s="914" t="s">
        <v>2210</v>
      </c>
      <c r="AC21" s="1678" t="s">
        <v>1906</v>
      </c>
      <c r="AD21" s="2438">
        <v>0.95</v>
      </c>
      <c r="AE21" s="1271" t="s">
        <v>2456</v>
      </c>
      <c r="AF21" s="1674" t="s">
        <v>2745</v>
      </c>
      <c r="AG21" s="1661" t="s">
        <v>2744</v>
      </c>
      <c r="AH21" s="1797">
        <v>1</v>
      </c>
      <c r="AI21" s="2459">
        <v>0.98</v>
      </c>
      <c r="AJ21" s="1798" t="s">
        <v>2969</v>
      </c>
      <c r="AK21" s="722" t="s">
        <v>2960</v>
      </c>
      <c r="AL21" s="1741"/>
    </row>
    <row r="22" spans="1:38" s="908" customFormat="1" ht="102" x14ac:dyDescent="0.25">
      <c r="A22" s="2095"/>
      <c r="B22" s="1952"/>
      <c r="C22" s="1952"/>
      <c r="D22" s="1952"/>
      <c r="E22" s="1952"/>
      <c r="F22" s="1952"/>
      <c r="G22" s="1952"/>
      <c r="H22" s="1170" t="s">
        <v>1170</v>
      </c>
      <c r="I22" s="1064"/>
      <c r="J22" s="1044"/>
      <c r="K22" s="1044"/>
      <c r="L22" s="1044"/>
      <c r="M22" s="1044"/>
      <c r="N22" s="1373" t="s">
        <v>1397</v>
      </c>
      <c r="O22" s="1044"/>
      <c r="P22" s="1044"/>
      <c r="Q22" s="1044"/>
      <c r="R22" s="1044"/>
      <c r="S22" s="1044"/>
      <c r="T22" s="1374" t="s">
        <v>1397</v>
      </c>
      <c r="U22" s="1359" t="s">
        <v>1941</v>
      </c>
      <c r="V22" s="1360">
        <v>1</v>
      </c>
      <c r="W22" s="2439"/>
      <c r="X22" s="2258"/>
      <c r="Y22" s="959">
        <v>1</v>
      </c>
      <c r="Z22" s="2439"/>
      <c r="AA22" s="1271" t="s">
        <v>2461</v>
      </c>
      <c r="AB22" s="914" t="s">
        <v>2212</v>
      </c>
      <c r="AC22" s="1679">
        <v>1</v>
      </c>
      <c r="AD22" s="2439"/>
      <c r="AE22" s="1271" t="s">
        <v>2461</v>
      </c>
      <c r="AF22" s="1514" t="s">
        <v>1941</v>
      </c>
      <c r="AG22" s="1661" t="s">
        <v>2212</v>
      </c>
      <c r="AH22" s="1799">
        <v>1</v>
      </c>
      <c r="AI22" s="2460"/>
      <c r="AJ22" s="1798" t="s">
        <v>2967</v>
      </c>
      <c r="AK22" s="1795" t="s">
        <v>2961</v>
      </c>
      <c r="AL22" s="1741"/>
    </row>
    <row r="23" spans="1:38" s="908" customFormat="1" ht="102" x14ac:dyDescent="0.25">
      <c r="A23" s="2095"/>
      <c r="B23" s="1952"/>
      <c r="C23" s="1952"/>
      <c r="D23" s="1952"/>
      <c r="E23" s="1952"/>
      <c r="F23" s="1952"/>
      <c r="G23" s="1952"/>
      <c r="H23" s="1170" t="s">
        <v>1171</v>
      </c>
      <c r="I23" s="1064"/>
      <c r="J23" s="1044"/>
      <c r="K23" s="1044"/>
      <c r="L23" s="1044"/>
      <c r="M23" s="1044"/>
      <c r="N23" s="1373" t="s">
        <v>1397</v>
      </c>
      <c r="O23" s="1044"/>
      <c r="P23" s="1044"/>
      <c r="Q23" s="1044"/>
      <c r="R23" s="1044"/>
      <c r="S23" s="1044"/>
      <c r="T23" s="1374" t="s">
        <v>1397</v>
      </c>
      <c r="U23" s="1359" t="s">
        <v>1942</v>
      </c>
      <c r="V23" s="1360">
        <v>1</v>
      </c>
      <c r="W23" s="2439"/>
      <c r="X23" s="2258"/>
      <c r="Y23" s="959">
        <v>1</v>
      </c>
      <c r="Z23" s="2439"/>
      <c r="AA23" s="1271" t="s">
        <v>2461</v>
      </c>
      <c r="AB23" s="914" t="s">
        <v>2212</v>
      </c>
      <c r="AC23" s="1679">
        <v>1</v>
      </c>
      <c r="AD23" s="2439"/>
      <c r="AE23" s="1271" t="s">
        <v>2461</v>
      </c>
      <c r="AF23" s="1514" t="s">
        <v>1942</v>
      </c>
      <c r="AG23" s="1661" t="s">
        <v>2212</v>
      </c>
      <c r="AH23" s="1799">
        <v>1</v>
      </c>
      <c r="AI23" s="2460"/>
      <c r="AJ23" s="1798" t="s">
        <v>2967</v>
      </c>
      <c r="AK23" s="1795" t="s">
        <v>2961</v>
      </c>
      <c r="AL23" s="1741"/>
    </row>
    <row r="24" spans="1:38" s="908" customFormat="1" ht="369.75" x14ac:dyDescent="0.25">
      <c r="A24" s="2095"/>
      <c r="B24" s="1952"/>
      <c r="C24" s="1952"/>
      <c r="D24" s="1952"/>
      <c r="E24" s="1952"/>
      <c r="F24" s="1952"/>
      <c r="G24" s="1952"/>
      <c r="H24" s="1170" t="s">
        <v>1172</v>
      </c>
      <c r="I24" s="1064"/>
      <c r="J24" s="1044"/>
      <c r="K24" s="1044"/>
      <c r="L24" s="1044"/>
      <c r="M24" s="1044"/>
      <c r="N24" s="1373" t="s">
        <v>1397</v>
      </c>
      <c r="O24" s="1044"/>
      <c r="P24" s="1044"/>
      <c r="Q24" s="1044"/>
      <c r="R24" s="1044"/>
      <c r="S24" s="1044"/>
      <c r="T24" s="1374" t="s">
        <v>1397</v>
      </c>
      <c r="U24" s="1514" t="s">
        <v>2470</v>
      </c>
      <c r="V24" s="1360">
        <v>0.6</v>
      </c>
      <c r="W24" s="2439"/>
      <c r="X24" s="2258"/>
      <c r="Y24" s="959">
        <v>0.8</v>
      </c>
      <c r="Z24" s="2439"/>
      <c r="AA24" s="1350" t="s">
        <v>2211</v>
      </c>
      <c r="AB24" s="759" t="s">
        <v>2471</v>
      </c>
      <c r="AC24" s="1679">
        <v>0.85</v>
      </c>
      <c r="AD24" s="2439"/>
      <c r="AE24" s="1271" t="s">
        <v>2211</v>
      </c>
      <c r="AF24" s="1514" t="s">
        <v>2752</v>
      </c>
      <c r="AG24" s="1661"/>
      <c r="AH24" s="1799">
        <v>0.95</v>
      </c>
      <c r="AI24" s="2460"/>
      <c r="AJ24" s="1798" t="s">
        <v>2971</v>
      </c>
      <c r="AK24" s="1796" t="s">
        <v>2962</v>
      </c>
      <c r="AL24" s="1741"/>
    </row>
    <row r="25" spans="1:38" s="908" customFormat="1" ht="140.25" x14ac:dyDescent="0.25">
      <c r="A25" s="2095"/>
      <c r="B25" s="1952"/>
      <c r="C25" s="1952"/>
      <c r="D25" s="1952"/>
      <c r="E25" s="1952"/>
      <c r="F25" s="1952"/>
      <c r="G25" s="1952"/>
      <c r="H25" s="1170" t="s">
        <v>1173</v>
      </c>
      <c r="I25" s="1047"/>
      <c r="J25" s="1045"/>
      <c r="K25" s="1045"/>
      <c r="L25" s="1045"/>
      <c r="M25" s="1045"/>
      <c r="N25" s="1375" t="s">
        <v>1397</v>
      </c>
      <c r="O25" s="1045"/>
      <c r="P25" s="1045"/>
      <c r="Q25" s="1045"/>
      <c r="R25" s="1045"/>
      <c r="S25" s="1045"/>
      <c r="T25" s="1376" t="s">
        <v>1397</v>
      </c>
      <c r="U25" s="1361" t="s">
        <v>1943</v>
      </c>
      <c r="V25" s="1360">
        <v>0.6</v>
      </c>
      <c r="W25" s="2439"/>
      <c r="X25" s="2259"/>
      <c r="Y25" s="959">
        <v>0.8</v>
      </c>
      <c r="Z25" s="2439"/>
      <c r="AA25" s="1350" t="s">
        <v>2211</v>
      </c>
      <c r="AB25" s="889" t="s">
        <v>2213</v>
      </c>
      <c r="AC25" s="1679" t="s">
        <v>1906</v>
      </c>
      <c r="AD25" s="2439"/>
      <c r="AE25" s="1271" t="s">
        <v>2211</v>
      </c>
      <c r="AF25" s="1680" t="s">
        <v>2753</v>
      </c>
      <c r="AG25" s="1661" t="s">
        <v>2744</v>
      </c>
      <c r="AH25" s="1799">
        <v>0.98</v>
      </c>
      <c r="AI25" s="2460"/>
      <c r="AJ25" s="1798" t="s">
        <v>2971</v>
      </c>
      <c r="AK25" s="1796" t="s">
        <v>2963</v>
      </c>
      <c r="AL25" s="1741"/>
    </row>
    <row r="26" spans="1:38" x14ac:dyDescent="0.25">
      <c r="A26" s="902" t="s">
        <v>2280</v>
      </c>
      <c r="B26" s="903"/>
      <c r="C26" s="891"/>
      <c r="D26" s="892"/>
      <c r="E26" s="891"/>
      <c r="F26" s="891"/>
      <c r="G26" s="891"/>
      <c r="H26" s="1145"/>
      <c r="I26" s="1338"/>
      <c r="J26" s="1003"/>
      <c r="K26" s="1003"/>
      <c r="L26" s="1003"/>
      <c r="M26" s="1003"/>
      <c r="N26" s="1003"/>
      <c r="O26" s="1003"/>
      <c r="P26" s="1003"/>
      <c r="Q26" s="1003"/>
      <c r="R26" s="1003"/>
      <c r="S26" s="1003"/>
      <c r="T26" s="1004"/>
      <c r="U26" s="1004"/>
      <c r="V26" s="1004"/>
      <c r="W26" s="1362">
        <v>0.93</v>
      </c>
      <c r="X26" s="1004"/>
      <c r="Y26" s="892"/>
      <c r="Z26" s="892"/>
      <c r="AA26" s="892"/>
      <c r="AB26" s="892"/>
      <c r="AC26" s="798"/>
      <c r="AD26" s="798"/>
      <c r="AE26" s="798"/>
      <c r="AF26" s="798"/>
      <c r="AG26" s="798"/>
      <c r="AH26" s="798"/>
      <c r="AI26" s="798"/>
      <c r="AJ26" s="798"/>
      <c r="AK26" s="798"/>
      <c r="AL26" s="798"/>
    </row>
    <row r="27" spans="1:38" x14ac:dyDescent="0.25">
      <c r="A27" s="902"/>
      <c r="B27" s="903"/>
      <c r="C27" s="891"/>
      <c r="D27" s="892"/>
      <c r="E27" s="891"/>
      <c r="F27" s="891"/>
      <c r="G27" s="891"/>
      <c r="H27" s="1145"/>
      <c r="I27" s="1338"/>
      <c r="J27" s="1003"/>
      <c r="K27" s="1003"/>
      <c r="L27" s="1003"/>
      <c r="M27" s="1003"/>
      <c r="N27" s="1003"/>
      <c r="O27" s="1003"/>
      <c r="P27" s="1003"/>
      <c r="Q27" s="1003"/>
      <c r="R27" s="1003"/>
      <c r="S27" s="1003"/>
      <c r="T27" s="1004"/>
      <c r="U27" s="1004"/>
      <c r="V27" s="1004"/>
      <c r="W27" s="1004"/>
      <c r="X27" s="1004"/>
      <c r="Y27" s="892"/>
      <c r="Z27" s="892"/>
      <c r="AA27" s="892"/>
      <c r="AB27" s="892"/>
      <c r="AC27" s="798"/>
      <c r="AD27" s="798"/>
      <c r="AE27" s="798"/>
      <c r="AF27" s="798"/>
      <c r="AG27" s="798"/>
      <c r="AH27" s="798"/>
      <c r="AI27" s="798"/>
      <c r="AJ27" s="798"/>
      <c r="AK27" s="798"/>
      <c r="AL27" s="798"/>
    </row>
    <row r="28" spans="1:38" x14ac:dyDescent="0.25">
      <c r="A28" s="904"/>
      <c r="B28" s="905"/>
      <c r="C28" s="894"/>
      <c r="E28" s="894"/>
      <c r="F28" s="894"/>
      <c r="G28" s="894"/>
      <c r="H28" s="895"/>
      <c r="AC28" s="750"/>
      <c r="AD28" s="750"/>
      <c r="AE28" s="750"/>
      <c r="AF28" s="750"/>
      <c r="AG28" s="750"/>
      <c r="AH28" s="750"/>
      <c r="AI28" s="750"/>
      <c r="AJ28" s="750"/>
      <c r="AK28" s="750"/>
      <c r="AL28" s="750"/>
    </row>
    <row r="29" spans="1:38" ht="15.75" customHeight="1" x14ac:dyDescent="0.25">
      <c r="A29" s="904"/>
      <c r="B29" s="905"/>
      <c r="C29" s="894"/>
      <c r="E29" s="894"/>
      <c r="F29" s="894"/>
      <c r="G29" s="894"/>
      <c r="H29" s="895"/>
      <c r="U29" s="896" t="s">
        <v>1944</v>
      </c>
      <c r="V29" s="897" t="s">
        <v>1945</v>
      </c>
      <c r="Y29" s="1172" t="s">
        <v>2397</v>
      </c>
      <c r="Z29" s="1489" t="s">
        <v>2393</v>
      </c>
      <c r="AC29" s="1172" t="s">
        <v>2397</v>
      </c>
      <c r="AD29" s="1489" t="s">
        <v>2393</v>
      </c>
      <c r="AE29" s="750"/>
      <c r="AF29" s="750"/>
      <c r="AG29" s="750"/>
      <c r="AH29" s="1172" t="s">
        <v>2397</v>
      </c>
      <c r="AI29" s="1489" t="s">
        <v>3063</v>
      </c>
      <c r="AJ29" s="750"/>
      <c r="AK29" s="750"/>
      <c r="AL29" s="750"/>
    </row>
    <row r="30" spans="1:38" x14ac:dyDescent="0.25">
      <c r="A30" s="904"/>
      <c r="B30" s="905"/>
      <c r="C30" s="894"/>
      <c r="E30" s="894"/>
      <c r="F30" s="894"/>
      <c r="G30" s="894"/>
      <c r="H30" s="895"/>
      <c r="U30" s="896" t="s">
        <v>1946</v>
      </c>
      <c r="V30" s="897"/>
      <c r="Y30" s="1141" t="s">
        <v>2429</v>
      </c>
      <c r="Z30" s="1173" t="s">
        <v>2376</v>
      </c>
      <c r="AA30" s="1488">
        <f>(88%*25%)</f>
        <v>0.22</v>
      </c>
      <c r="AC30" s="1141" t="s">
        <v>2718</v>
      </c>
      <c r="AD30" s="1173" t="s">
        <v>2376</v>
      </c>
      <c r="AE30" s="1488">
        <f>98%*25%</f>
        <v>0.245</v>
      </c>
      <c r="AF30" s="1488"/>
      <c r="AG30" s="750"/>
      <c r="AH30" s="1141" t="s">
        <v>2972</v>
      </c>
      <c r="AI30" s="1173" t="s">
        <v>2376</v>
      </c>
      <c r="AJ30" s="1488">
        <f>93%*25%</f>
        <v>0.23250000000000001</v>
      </c>
      <c r="AK30" s="1488"/>
      <c r="AL30" s="750"/>
    </row>
    <row r="31" spans="1:38" x14ac:dyDescent="0.25">
      <c r="A31" s="904"/>
      <c r="B31" s="905"/>
      <c r="C31" s="894"/>
      <c r="E31" s="894"/>
      <c r="F31" s="894"/>
      <c r="G31" s="894"/>
      <c r="H31" s="895"/>
      <c r="U31" s="896" t="s">
        <v>1947</v>
      </c>
      <c r="V31" s="1339">
        <f>(93%*25%)</f>
        <v>0.23250000000000001</v>
      </c>
    </row>
    <row r="32" spans="1:38" x14ac:dyDescent="0.25">
      <c r="A32" s="904"/>
      <c r="B32" s="905"/>
      <c r="C32" s="894"/>
      <c r="E32" s="894"/>
      <c r="F32" s="894"/>
      <c r="G32" s="894"/>
      <c r="H32" s="895"/>
    </row>
    <row r="33" spans="1:8" x14ac:dyDescent="0.25">
      <c r="A33" s="904"/>
      <c r="B33" s="905"/>
      <c r="C33" s="894"/>
      <c r="E33" s="894"/>
      <c r="F33" s="894"/>
      <c r="G33" s="894"/>
      <c r="H33" s="895"/>
    </row>
    <row r="34" spans="1:8" x14ac:dyDescent="0.25">
      <c r="A34" s="904"/>
      <c r="B34" s="905"/>
      <c r="C34" s="894"/>
      <c r="E34" s="894"/>
      <c r="F34" s="894"/>
      <c r="G34" s="894"/>
      <c r="H34" s="895"/>
    </row>
    <row r="35" spans="1:8" x14ac:dyDescent="0.25">
      <c r="A35" s="904"/>
      <c r="B35" s="905"/>
      <c r="C35" s="894"/>
      <c r="E35" s="894"/>
      <c r="F35" s="894"/>
      <c r="G35" s="894"/>
      <c r="H35" s="895"/>
    </row>
  </sheetData>
  <mergeCells count="86">
    <mergeCell ref="AI12:AI18"/>
    <mergeCell ref="AI19:AI20"/>
    <mergeCell ref="AI21:AI25"/>
    <mergeCell ref="AI7:AI9"/>
    <mergeCell ref="AJ7:AJ8"/>
    <mergeCell ref="AI10:AI11"/>
    <mergeCell ref="AH1:AL1"/>
    <mergeCell ref="AI4:AI6"/>
    <mergeCell ref="AJ4:AJ5"/>
    <mergeCell ref="AL4:AL6"/>
    <mergeCell ref="AD10:AD11"/>
    <mergeCell ref="AG10:AG11"/>
    <mergeCell ref="AL8:AL9"/>
    <mergeCell ref="AL10:AL11"/>
    <mergeCell ref="Z12:Z18"/>
    <mergeCell ref="Z4:Z6"/>
    <mergeCell ref="AD19:AD20"/>
    <mergeCell ref="AD21:AD25"/>
    <mergeCell ref="AC1:AG1"/>
    <mergeCell ref="AD4:AD6"/>
    <mergeCell ref="AE4:AE5"/>
    <mergeCell ref="AD7:AD9"/>
    <mergeCell ref="AE7:AE8"/>
    <mergeCell ref="AF4:AF6"/>
    <mergeCell ref="AG4:AG6"/>
    <mergeCell ref="AG8:AG9"/>
    <mergeCell ref="AD12:AD18"/>
    <mergeCell ref="Y1:AB1"/>
    <mergeCell ref="AA4:AA5"/>
    <mergeCell ref="AA7:AA8"/>
    <mergeCell ref="A1:H1"/>
    <mergeCell ref="I1:T1"/>
    <mergeCell ref="U1:X1"/>
    <mergeCell ref="A4:A25"/>
    <mergeCell ref="B4:B6"/>
    <mergeCell ref="C4:C6"/>
    <mergeCell ref="D4:D6"/>
    <mergeCell ref="E4:E6"/>
    <mergeCell ref="F4:F6"/>
    <mergeCell ref="B7:B9"/>
    <mergeCell ref="B10:B11"/>
    <mergeCell ref="C10:C11"/>
    <mergeCell ref="D10:D11"/>
    <mergeCell ref="E10:E11"/>
    <mergeCell ref="F10:F11"/>
    <mergeCell ref="C7:C9"/>
    <mergeCell ref="Z19:Z20"/>
    <mergeCell ref="Z21:Z25"/>
    <mergeCell ref="Z7:Z9"/>
    <mergeCell ref="Z10:Z11"/>
    <mergeCell ref="G4:G6"/>
    <mergeCell ref="U4:U6"/>
    <mergeCell ref="W4:W6"/>
    <mergeCell ref="X4:X6"/>
    <mergeCell ref="W7:W9"/>
    <mergeCell ref="X7:X9"/>
    <mergeCell ref="W10:W11"/>
    <mergeCell ref="X10:X11"/>
    <mergeCell ref="W12:W18"/>
    <mergeCell ref="X12:X18"/>
    <mergeCell ref="G19:G20"/>
    <mergeCell ref="W19:W20"/>
    <mergeCell ref="D7:D9"/>
    <mergeCell ref="E7:E9"/>
    <mergeCell ref="F7:F9"/>
    <mergeCell ref="G7:G9"/>
    <mergeCell ref="G10:G11"/>
    <mergeCell ref="G12:G18"/>
    <mergeCell ref="B19:B20"/>
    <mergeCell ref="C19:C20"/>
    <mergeCell ref="D19:D20"/>
    <mergeCell ref="E19:E20"/>
    <mergeCell ref="F19:F20"/>
    <mergeCell ref="B12:B18"/>
    <mergeCell ref="C12:C18"/>
    <mergeCell ref="D12:D18"/>
    <mergeCell ref="E12:E18"/>
    <mergeCell ref="F12:F18"/>
    <mergeCell ref="X21:X25"/>
    <mergeCell ref="B21:B25"/>
    <mergeCell ref="C21:C25"/>
    <mergeCell ref="D21:D25"/>
    <mergeCell ref="E21:E25"/>
    <mergeCell ref="F21:F25"/>
    <mergeCell ref="G21:G25"/>
    <mergeCell ref="W21:W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L19"/>
  <sheetViews>
    <sheetView topLeftCell="C1" zoomScale="85" zoomScaleNormal="85" zoomScaleSheetLayoutView="85" workbookViewId="0">
      <pane xSplit="6" ySplit="3" topLeftCell="AE5" activePane="bottomRight" state="frozen"/>
      <selection activeCell="C1" sqref="C1"/>
      <selection pane="topRight" activeCell="I1" sqref="I1"/>
      <selection pane="bottomLeft" activeCell="C4" sqref="C4"/>
      <selection pane="bottomRight" activeCell="AJ5" sqref="AJ5"/>
    </sheetView>
  </sheetViews>
  <sheetFormatPr baseColWidth="10" defaultColWidth="11.5703125" defaultRowHeight="15" x14ac:dyDescent="0.25"/>
  <cols>
    <col min="1" max="1" width="18" style="904" customWidth="1"/>
    <col min="2" max="2" width="23.7109375" style="905" customWidth="1"/>
    <col min="3" max="3" width="33.85546875" style="894" customWidth="1"/>
    <col min="4" max="4" width="12.7109375" style="886" customWidth="1"/>
    <col min="5" max="5" width="18.28515625" style="894" customWidth="1"/>
    <col min="6" max="6" width="22" style="894" customWidth="1"/>
    <col min="7" max="7" width="20.5703125" style="894" customWidth="1"/>
    <col min="8" max="8" width="27" style="895" customWidth="1"/>
    <col min="9" max="9" width="7" style="886" bestFit="1" customWidth="1"/>
    <col min="10" max="10" width="9" style="886" bestFit="1" customWidth="1"/>
    <col min="11" max="11" width="9.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15.42578125" style="886" customWidth="1"/>
    <col min="22" max="22" width="18" style="886" customWidth="1"/>
    <col min="23" max="23" width="30.42578125" style="886" customWidth="1"/>
    <col min="24" max="24" width="16.5703125" style="886" customWidth="1"/>
    <col min="25" max="25" width="20.7109375" style="886" customWidth="1"/>
    <col min="26" max="26" width="38.42578125" style="886" customWidth="1"/>
    <col min="27" max="27" width="48" style="886" customWidth="1"/>
    <col min="28" max="28" width="26.42578125" style="886" customWidth="1"/>
    <col min="29" max="29" width="23.5703125" style="886" bestFit="1" customWidth="1"/>
    <col min="30" max="30" width="15" style="886" customWidth="1"/>
    <col min="31" max="31" width="38.42578125" style="886" customWidth="1"/>
    <col min="32" max="32" width="40" style="886" customWidth="1"/>
    <col min="33" max="33" width="18.140625" style="886" customWidth="1"/>
    <col min="34" max="36" width="11.5703125" style="886"/>
    <col min="37" max="37" width="31.85546875" style="886" customWidth="1"/>
    <col min="38" max="16384" width="11.5703125" style="886"/>
  </cols>
  <sheetData>
    <row r="1" spans="1:38" ht="53.25" customHeight="1" x14ac:dyDescent="0.25">
      <c r="A1" s="2094" t="s">
        <v>1460</v>
      </c>
      <c r="B1" s="2094"/>
      <c r="C1" s="2094"/>
      <c r="D1" s="2094"/>
      <c r="E1" s="2094"/>
      <c r="F1" s="2094"/>
      <c r="G1" s="2094"/>
      <c r="H1" s="2094"/>
      <c r="I1" s="1939" t="s">
        <v>1351</v>
      </c>
      <c r="J1" s="1939"/>
      <c r="K1" s="1939"/>
      <c r="L1" s="1939"/>
      <c r="M1" s="1939"/>
      <c r="N1" s="1939"/>
      <c r="O1" s="1939"/>
      <c r="P1" s="1939"/>
      <c r="Q1" s="1939"/>
      <c r="R1" s="1939"/>
      <c r="S1" s="1939"/>
      <c r="T1" s="1939"/>
      <c r="U1" s="2173" t="s">
        <v>1970</v>
      </c>
      <c r="V1" s="2239"/>
      <c r="W1" s="2239"/>
      <c r="X1" s="2173" t="s">
        <v>2138</v>
      </c>
      <c r="Y1" s="2172"/>
      <c r="Z1" s="2172"/>
      <c r="AA1" s="2172"/>
      <c r="AB1" s="2172"/>
      <c r="AC1" s="2173" t="s">
        <v>2631</v>
      </c>
      <c r="AD1" s="2172"/>
      <c r="AE1" s="2172"/>
      <c r="AF1" s="2172"/>
      <c r="AG1" s="2172"/>
      <c r="AH1" s="2173" t="s">
        <v>2872</v>
      </c>
      <c r="AI1" s="2172"/>
      <c r="AJ1" s="2172"/>
      <c r="AK1" s="2172"/>
      <c r="AL1" s="2172"/>
    </row>
    <row r="2" spans="1:38" ht="7.5" customHeight="1" x14ac:dyDescent="0.25">
      <c r="A2" s="900"/>
      <c r="B2" s="894"/>
      <c r="C2" s="807"/>
      <c r="D2" s="807"/>
      <c r="E2" s="807"/>
      <c r="F2" s="807"/>
      <c r="G2" s="808"/>
      <c r="H2" s="793"/>
    </row>
    <row r="3" spans="1:38" s="906" customFormat="1" ht="51.75" customHeight="1" x14ac:dyDescent="0.25">
      <c r="A3" s="777" t="s">
        <v>1221</v>
      </c>
      <c r="B3" s="777" t="s">
        <v>47</v>
      </c>
      <c r="C3" s="777" t="s">
        <v>1461</v>
      </c>
      <c r="D3" s="777" t="s">
        <v>1</v>
      </c>
      <c r="E3" s="777" t="s">
        <v>51</v>
      </c>
      <c r="F3" s="777" t="s">
        <v>2216</v>
      </c>
      <c r="G3" s="778" t="s">
        <v>3</v>
      </c>
      <c r="H3" s="809"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2049</v>
      </c>
      <c r="X3" s="811" t="s">
        <v>1926</v>
      </c>
      <c r="Y3" s="811" t="s">
        <v>1927</v>
      </c>
      <c r="Z3" s="811" t="s">
        <v>2126</v>
      </c>
      <c r="AA3" s="811" t="s">
        <v>2159</v>
      </c>
      <c r="AB3" s="811" t="s">
        <v>1928</v>
      </c>
      <c r="AC3" s="779" t="s">
        <v>1926</v>
      </c>
      <c r="AD3" s="779" t="s">
        <v>1927</v>
      </c>
      <c r="AE3" s="779" t="s">
        <v>2126</v>
      </c>
      <c r="AF3" s="779" t="s">
        <v>2159</v>
      </c>
      <c r="AG3" s="779" t="s">
        <v>1928</v>
      </c>
      <c r="AH3" s="779" t="s">
        <v>1926</v>
      </c>
      <c r="AI3" s="779" t="s">
        <v>1927</v>
      </c>
      <c r="AJ3" s="779" t="s">
        <v>2126</v>
      </c>
      <c r="AK3" s="779" t="s">
        <v>2159</v>
      </c>
      <c r="AL3" s="779" t="s">
        <v>1928</v>
      </c>
    </row>
    <row r="4" spans="1:38" ht="60" hidden="1" x14ac:dyDescent="0.25">
      <c r="A4" s="2095" t="s">
        <v>1483</v>
      </c>
      <c r="B4" s="1499" t="s">
        <v>374</v>
      </c>
      <c r="C4" s="1500" t="s">
        <v>76</v>
      </c>
      <c r="D4" s="1501" t="s">
        <v>1290</v>
      </c>
      <c r="E4" s="1502" t="s">
        <v>1409</v>
      </c>
      <c r="F4" s="1502" t="s">
        <v>77</v>
      </c>
      <c r="G4" s="1499" t="s">
        <v>1661</v>
      </c>
      <c r="H4" s="1503" t="s">
        <v>1509</v>
      </c>
      <c r="I4" s="1154"/>
      <c r="J4" s="1155"/>
      <c r="K4" s="1504" t="s">
        <v>2050</v>
      </c>
      <c r="L4" s="1155"/>
      <c r="M4" s="1155"/>
      <c r="N4" s="1155"/>
      <c r="O4" s="1155"/>
      <c r="P4" s="1155"/>
      <c r="Q4" s="1155"/>
      <c r="R4" s="1155"/>
      <c r="S4" s="1155"/>
      <c r="T4" s="1157"/>
      <c r="U4" s="1498" t="s">
        <v>2051</v>
      </c>
      <c r="V4" s="1102">
        <v>1</v>
      </c>
      <c r="W4" s="908" t="s">
        <v>2052</v>
      </c>
      <c r="X4" s="1100"/>
      <c r="Y4" s="1100"/>
      <c r="Z4" s="892"/>
      <c r="AA4" s="892"/>
      <c r="AB4" s="892"/>
      <c r="AC4" s="1619"/>
      <c r="AD4" s="1619"/>
      <c r="AE4" s="892"/>
      <c r="AF4" s="892"/>
      <c r="AG4" s="892"/>
      <c r="AH4" s="1749"/>
      <c r="AI4" s="1749"/>
      <c r="AJ4" s="892"/>
      <c r="AK4" s="892"/>
      <c r="AL4" s="892"/>
    </row>
    <row r="5" spans="1:38" ht="360" x14ac:dyDescent="0.25">
      <c r="A5" s="2095"/>
      <c r="B5" s="1500" t="s">
        <v>374</v>
      </c>
      <c r="C5" s="1500" t="s">
        <v>2391</v>
      </c>
      <c r="D5" s="1501">
        <v>0.7</v>
      </c>
      <c r="E5" s="1500" t="s">
        <v>38</v>
      </c>
      <c r="F5" s="1499" t="s">
        <v>37</v>
      </c>
      <c r="G5" s="1499" t="s">
        <v>1663</v>
      </c>
      <c r="H5" s="1503" t="s">
        <v>1509</v>
      </c>
      <c r="I5" s="1042" t="s">
        <v>1397</v>
      </c>
      <c r="J5" s="1043" t="s">
        <v>1397</v>
      </c>
      <c r="K5" s="1043" t="s">
        <v>1397</v>
      </c>
      <c r="L5" s="1043" t="s">
        <v>1397</v>
      </c>
      <c r="M5" s="1043" t="s">
        <v>1397</v>
      </c>
      <c r="N5" s="1043" t="s">
        <v>1397</v>
      </c>
      <c r="O5" s="1043" t="s">
        <v>1397</v>
      </c>
      <c r="P5" s="1043" t="s">
        <v>1397</v>
      </c>
      <c r="Q5" s="1043" t="s">
        <v>1397</v>
      </c>
      <c r="R5" s="1043" t="s">
        <v>1397</v>
      </c>
      <c r="S5" s="1043" t="s">
        <v>1397</v>
      </c>
      <c r="T5" s="1130" t="s">
        <v>1397</v>
      </c>
      <c r="U5" s="1386">
        <f>41/876</f>
        <v>4.6803652968036527E-2</v>
      </c>
      <c r="V5" s="1386">
        <f>41/876</f>
        <v>4.6803652968036527E-2</v>
      </c>
      <c r="W5" s="943" t="s">
        <v>2053</v>
      </c>
      <c r="X5" s="1100">
        <v>0.94</v>
      </c>
      <c r="Y5" s="1100">
        <v>0.94</v>
      </c>
      <c r="Z5" s="1178" t="s">
        <v>2536</v>
      </c>
      <c r="AA5" s="759" t="s">
        <v>2535</v>
      </c>
      <c r="AB5" s="892"/>
      <c r="AC5" s="1619">
        <v>0.94</v>
      </c>
      <c r="AD5" s="1619">
        <v>0.94</v>
      </c>
      <c r="AE5" s="1178" t="s">
        <v>2536</v>
      </c>
      <c r="AF5" s="759" t="s">
        <v>2777</v>
      </c>
      <c r="AG5" s="892"/>
      <c r="AH5" s="1822">
        <v>0.9</v>
      </c>
      <c r="AI5" s="1822">
        <v>0.9</v>
      </c>
      <c r="AJ5" s="1178" t="s">
        <v>2536</v>
      </c>
      <c r="AK5" s="1770" t="s">
        <v>3038</v>
      </c>
      <c r="AL5" s="1772"/>
    </row>
    <row r="6" spans="1:38" ht="135" x14ac:dyDescent="0.25">
      <c r="A6" s="2095"/>
      <c r="B6" s="1500" t="s">
        <v>374</v>
      </c>
      <c r="C6" s="1500" t="s">
        <v>2392</v>
      </c>
      <c r="D6" s="1501">
        <v>0.6</v>
      </c>
      <c r="E6" s="1500" t="s">
        <v>1464</v>
      </c>
      <c r="F6" s="1499" t="s">
        <v>1294</v>
      </c>
      <c r="G6" s="1499" t="s">
        <v>1663</v>
      </c>
      <c r="H6" s="1503" t="s">
        <v>1509</v>
      </c>
      <c r="I6" s="1057" t="s">
        <v>1397</v>
      </c>
      <c r="J6" s="1058" t="s">
        <v>1397</v>
      </c>
      <c r="K6" s="1058" t="s">
        <v>1397</v>
      </c>
      <c r="L6" s="1058" t="s">
        <v>1397</v>
      </c>
      <c r="M6" s="1058" t="s">
        <v>1397</v>
      </c>
      <c r="N6" s="1058" t="s">
        <v>1397</v>
      </c>
      <c r="O6" s="1058" t="s">
        <v>1397</v>
      </c>
      <c r="P6" s="1058" t="s">
        <v>1397</v>
      </c>
      <c r="Q6" s="1058" t="s">
        <v>1397</v>
      </c>
      <c r="R6" s="1058" t="s">
        <v>1397</v>
      </c>
      <c r="S6" s="1058" t="s">
        <v>1397</v>
      </c>
      <c r="T6" s="1196" t="s">
        <v>1397</v>
      </c>
      <c r="U6" s="1386">
        <f>21/134</f>
        <v>0.15671641791044777</v>
      </c>
      <c r="V6" s="1386">
        <f>21/134</f>
        <v>0.15671641791044777</v>
      </c>
      <c r="W6" s="908" t="s">
        <v>2054</v>
      </c>
      <c r="X6" s="1100">
        <v>0.92</v>
      </c>
      <c r="Y6" s="1100">
        <v>0.92</v>
      </c>
      <c r="Z6" s="759" t="s">
        <v>2538</v>
      </c>
      <c r="AA6" s="1178" t="s">
        <v>2537</v>
      </c>
      <c r="AB6" s="892"/>
      <c r="AC6" s="1619">
        <v>0.92</v>
      </c>
      <c r="AD6" s="1619">
        <v>0.92</v>
      </c>
      <c r="AE6" s="759" t="s">
        <v>2538</v>
      </c>
      <c r="AF6" s="1178" t="s">
        <v>2778</v>
      </c>
      <c r="AG6" s="892"/>
      <c r="AH6" s="1822">
        <v>1</v>
      </c>
      <c r="AI6" s="1822">
        <v>1</v>
      </c>
      <c r="AJ6" s="1770" t="s">
        <v>2538</v>
      </c>
      <c r="AK6" s="1178" t="s">
        <v>3039</v>
      </c>
      <c r="AL6" s="1772"/>
    </row>
    <row r="7" spans="1:38" x14ac:dyDescent="0.25">
      <c r="A7" s="902" t="s">
        <v>2280</v>
      </c>
      <c r="B7" s="903"/>
      <c r="C7" s="891"/>
      <c r="D7" s="892"/>
      <c r="E7" s="891"/>
      <c r="F7" s="891"/>
      <c r="G7" s="891"/>
      <c r="H7" s="1145"/>
      <c r="I7" s="1151"/>
      <c r="J7" s="1143"/>
      <c r="K7" s="1143"/>
      <c r="L7" s="1143"/>
      <c r="M7" s="1143"/>
      <c r="N7" s="1143"/>
      <c r="O7" s="1143"/>
      <c r="P7" s="1143"/>
      <c r="Q7" s="1143"/>
      <c r="R7" s="1143"/>
      <c r="S7" s="1143"/>
      <c r="T7" s="1144"/>
      <c r="U7" s="1144"/>
      <c r="V7" s="1144"/>
      <c r="W7" s="1144"/>
      <c r="X7" s="892"/>
      <c r="Y7" s="892"/>
      <c r="Z7" s="892"/>
      <c r="AA7" s="892"/>
      <c r="AB7" s="892"/>
      <c r="AC7" s="892"/>
      <c r="AD7" s="892"/>
      <c r="AE7" s="892"/>
      <c r="AF7" s="892"/>
      <c r="AG7" s="892"/>
      <c r="AH7" s="1772"/>
      <c r="AI7" s="1772"/>
      <c r="AJ7" s="1772"/>
      <c r="AK7" s="1772"/>
      <c r="AL7" s="1772"/>
    </row>
    <row r="8" spans="1:38" x14ac:dyDescent="0.25">
      <c r="A8" s="902"/>
      <c r="B8" s="903"/>
      <c r="C8" s="891"/>
      <c r="D8" s="892"/>
      <c r="E8" s="891"/>
      <c r="F8" s="891"/>
      <c r="G8" s="891"/>
      <c r="H8" s="1145"/>
      <c r="I8" s="1151"/>
      <c r="J8" s="1143"/>
      <c r="K8" s="1143"/>
      <c r="L8" s="1143"/>
      <c r="M8" s="1143"/>
      <c r="N8" s="1143"/>
      <c r="O8" s="1143"/>
      <c r="P8" s="1143"/>
      <c r="Q8" s="1143"/>
      <c r="R8" s="1143"/>
      <c r="S8" s="1143"/>
      <c r="T8" s="1144"/>
      <c r="U8" s="1144"/>
      <c r="V8" s="1144"/>
      <c r="W8" s="1144"/>
      <c r="X8" s="892"/>
      <c r="Y8" s="892"/>
      <c r="Z8" s="892"/>
      <c r="AA8" s="892"/>
      <c r="AB8" s="892"/>
      <c r="AC8" s="892"/>
      <c r="AD8" s="892"/>
      <c r="AE8" s="892"/>
      <c r="AF8" s="892"/>
      <c r="AG8" s="892"/>
      <c r="AH8" s="1772"/>
      <c r="AI8" s="1772"/>
      <c r="AJ8" s="1772"/>
      <c r="AK8" s="1772"/>
      <c r="AL8" s="1772"/>
    </row>
    <row r="9" spans="1:38" x14ac:dyDescent="0.25">
      <c r="A9" s="905"/>
    </row>
    <row r="10" spans="1:38" ht="15.75" customHeight="1" x14ac:dyDescent="0.25">
      <c r="A10" s="905"/>
      <c r="U10" s="897" t="s">
        <v>2055</v>
      </c>
      <c r="V10" s="1496"/>
      <c r="X10" s="1172" t="s">
        <v>2394</v>
      </c>
      <c r="Y10" s="1141" t="s">
        <v>2393</v>
      </c>
      <c r="AC10" s="1172" t="s">
        <v>2394</v>
      </c>
      <c r="AD10" s="1141" t="s">
        <v>2393</v>
      </c>
      <c r="AH10" s="1172"/>
      <c r="AI10" s="1141"/>
    </row>
    <row r="11" spans="1:38" x14ac:dyDescent="0.25">
      <c r="A11" s="905"/>
      <c r="U11" s="897" t="s">
        <v>2056</v>
      </c>
      <c r="V11" s="1332"/>
      <c r="X11" s="1172" t="s">
        <v>2430</v>
      </c>
      <c r="Y11" s="1173" t="s">
        <v>2376</v>
      </c>
      <c r="Z11" s="1505">
        <f>(100%*25%)</f>
        <v>0.25</v>
      </c>
      <c r="AC11" s="1172" t="s">
        <v>2430</v>
      </c>
      <c r="AD11" s="1173" t="s">
        <v>2376</v>
      </c>
      <c r="AH11" s="1172"/>
      <c r="AI11" s="1173"/>
    </row>
    <row r="12" spans="1:38" x14ac:dyDescent="0.25">
      <c r="A12" s="905"/>
      <c r="U12" s="897"/>
      <c r="V12" s="897"/>
    </row>
    <row r="13" spans="1:38" x14ac:dyDescent="0.25">
      <c r="A13" s="905"/>
      <c r="U13" s="1497">
        <v>0.25</v>
      </c>
      <c r="V13" s="731" t="s">
        <v>2057</v>
      </c>
      <c r="X13" s="723" t="s">
        <v>2539</v>
      </c>
      <c r="Y13" s="735"/>
      <c r="AC13" s="723" t="s">
        <v>2539</v>
      </c>
      <c r="AD13" s="735"/>
      <c r="AH13" s="723"/>
      <c r="AI13" s="735"/>
    </row>
    <row r="14" spans="1:38" x14ac:dyDescent="0.25">
      <c r="A14" s="905"/>
      <c r="U14" s="898">
        <f>(4.7%*25%)</f>
        <v>1.175E-2</v>
      </c>
      <c r="V14" s="1706" t="s">
        <v>2865</v>
      </c>
      <c r="X14" s="723" t="s">
        <v>2540</v>
      </c>
      <c r="Y14" s="736"/>
      <c r="AC14" s="723" t="s">
        <v>2540</v>
      </c>
      <c r="AD14" s="724">
        <v>0.23300000000000001</v>
      </c>
      <c r="AH14" s="723"/>
      <c r="AI14" s="724"/>
    </row>
    <row r="15" spans="1:38" x14ac:dyDescent="0.25">
      <c r="A15" s="905"/>
      <c r="X15" s="737"/>
      <c r="Y15" s="730"/>
      <c r="AC15" s="724"/>
      <c r="AD15" s="730"/>
      <c r="AE15" s="910"/>
      <c r="AH15" s="724"/>
      <c r="AI15" s="730"/>
      <c r="AJ15" s="910"/>
    </row>
    <row r="16" spans="1:38" x14ac:dyDescent="0.25">
      <c r="A16" s="905"/>
      <c r="U16" s="724">
        <f>(4.7%*25%)</f>
        <v>1.175E-2</v>
      </c>
      <c r="X16" s="724">
        <f>(94%*25%)</f>
        <v>0.23499999999999999</v>
      </c>
      <c r="Y16" s="2466" t="s">
        <v>2541</v>
      </c>
      <c r="AC16" s="724">
        <f>(94%*25%)</f>
        <v>0.23499999999999999</v>
      </c>
      <c r="AD16" s="2466" t="s">
        <v>2541</v>
      </c>
      <c r="AE16" s="910"/>
      <c r="AH16" s="724">
        <f>(90%*25%)</f>
        <v>0.22500000000000001</v>
      </c>
      <c r="AI16" s="2466" t="s">
        <v>2541</v>
      </c>
      <c r="AJ16" s="910"/>
    </row>
    <row r="17" spans="1:35" x14ac:dyDescent="0.25">
      <c r="A17" s="905"/>
      <c r="U17" s="724">
        <f>(15.7%*25%)</f>
        <v>3.925E-2</v>
      </c>
      <c r="X17" s="724">
        <f>(92%*25%)</f>
        <v>0.23</v>
      </c>
      <c r="Y17" s="2466"/>
      <c r="AC17" s="724">
        <f>(92%*25%)</f>
        <v>0.23</v>
      </c>
      <c r="AD17" s="2466"/>
      <c r="AH17" s="724">
        <f>(100%*25%)</f>
        <v>0.25</v>
      </c>
      <c r="AI17" s="2466"/>
    </row>
    <row r="18" spans="1:35" x14ac:dyDescent="0.25">
      <c r="A18" s="905"/>
    </row>
    <row r="19" spans="1:35" x14ac:dyDescent="0.25">
      <c r="A19" s="905"/>
    </row>
  </sheetData>
  <mergeCells count="10">
    <mergeCell ref="A1:H1"/>
    <mergeCell ref="I1:T1"/>
    <mergeCell ref="A4:A6"/>
    <mergeCell ref="X1:AB1"/>
    <mergeCell ref="AC1:AG1"/>
    <mergeCell ref="AH1:AL1"/>
    <mergeCell ref="AI16:AI17"/>
    <mergeCell ref="AD16:AD17"/>
    <mergeCell ref="Y16:Y17"/>
    <mergeCell ref="U1:W1"/>
  </mergeCells>
  <pageMargins left="0.70866141732283472" right="0.70866141732283472" top="0.74803149606299213" bottom="0.74803149606299213" header="0.31496062992125984" footer="0.31496062992125984"/>
  <pageSetup scale="25"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theme="5" tint="0.39997558519241921"/>
  </sheetPr>
  <dimension ref="A1:U40"/>
  <sheetViews>
    <sheetView tabSelected="1" topLeftCell="A24" zoomScale="120" zoomScaleNormal="120" workbookViewId="0">
      <selection activeCell="X37" sqref="X37"/>
    </sheetView>
  </sheetViews>
  <sheetFormatPr baseColWidth="10" defaultRowHeight="12" x14ac:dyDescent="0.25"/>
  <cols>
    <col min="1" max="1" width="32.140625" style="1546" customWidth="1"/>
    <col min="2" max="2" width="16.7109375" style="1546" customWidth="1"/>
    <col min="3" max="3" width="16.28515625" style="1546" customWidth="1"/>
    <col min="4" max="4" width="15.85546875" style="1546" customWidth="1"/>
    <col min="5" max="5" width="15.140625" style="1546" customWidth="1"/>
    <col min="6" max="7" width="13.85546875" style="1546" hidden="1" customWidth="1"/>
    <col min="8" max="8" width="14" style="1546" hidden="1" customWidth="1"/>
    <col min="9" max="10" width="14.7109375" style="1546" hidden="1" customWidth="1"/>
    <col min="11" max="11" width="28" style="1546" hidden="1" customWidth="1"/>
    <col min="12" max="12" width="18.85546875" style="1546" hidden="1" customWidth="1"/>
    <col min="13" max="13" width="13.5703125" style="1691" hidden="1" customWidth="1"/>
    <col min="14" max="17" width="11.42578125" style="1546" hidden="1" customWidth="1"/>
    <col min="18" max="18" width="11.42578125" style="1546"/>
    <col min="19" max="19" width="15.140625" style="1546" hidden="1" customWidth="1"/>
    <col min="20" max="20" width="0" style="1546" hidden="1" customWidth="1"/>
    <col min="21" max="16384" width="11.42578125" style="1546"/>
  </cols>
  <sheetData>
    <row r="1" spans="1:21" ht="28.5" customHeight="1" x14ac:dyDescent="0.25">
      <c r="A1" s="1926" t="s">
        <v>1842</v>
      </c>
      <c r="B1" s="1927"/>
      <c r="C1" s="1927"/>
      <c r="D1" s="1927"/>
      <c r="E1" s="1927"/>
      <c r="F1" s="1576"/>
      <c r="G1" s="1576"/>
      <c r="H1" s="1576"/>
      <c r="I1" s="1576"/>
      <c r="J1" s="1576"/>
      <c r="K1" s="1577"/>
    </row>
    <row r="2" spans="1:21" ht="36" x14ac:dyDescent="0.25">
      <c r="A2" s="699" t="s">
        <v>1841</v>
      </c>
      <c r="B2" s="700" t="s">
        <v>2431</v>
      </c>
      <c r="C2" s="700" t="s">
        <v>2432</v>
      </c>
      <c r="D2" s="700" t="s">
        <v>2433</v>
      </c>
      <c r="E2" s="700" t="s">
        <v>2434</v>
      </c>
      <c r="F2" s="700" t="s">
        <v>1843</v>
      </c>
      <c r="G2" s="700" t="s">
        <v>1844</v>
      </c>
      <c r="H2" s="700" t="s">
        <v>1850</v>
      </c>
      <c r="I2" s="700" t="s">
        <v>2580</v>
      </c>
      <c r="J2" s="700" t="s">
        <v>2866</v>
      </c>
      <c r="K2" s="701" t="s">
        <v>1846</v>
      </c>
      <c r="L2" s="700" t="s">
        <v>2863</v>
      </c>
      <c r="M2" s="1692"/>
      <c r="S2" s="700" t="s">
        <v>2434</v>
      </c>
    </row>
    <row r="3" spans="1:21" x14ac:dyDescent="0.25">
      <c r="A3" s="1547" t="s">
        <v>1821</v>
      </c>
      <c r="B3" s="1548"/>
      <c r="C3" s="1548"/>
      <c r="D3" s="1548"/>
      <c r="E3" s="1548"/>
      <c r="F3" s="1549">
        <f>F4</f>
        <v>1</v>
      </c>
      <c r="G3" s="1549">
        <f>G4</f>
        <v>0</v>
      </c>
      <c r="H3" s="1549">
        <f>H4</f>
        <v>0</v>
      </c>
      <c r="I3" s="1549"/>
      <c r="J3" s="1549"/>
      <c r="K3" s="1550"/>
      <c r="L3" s="1548"/>
      <c r="S3" s="1548"/>
    </row>
    <row r="4" spans="1:21" x14ac:dyDescent="0.25">
      <c r="A4" s="1551" t="s">
        <v>1822</v>
      </c>
      <c r="B4" s="1552">
        <f>'PRENSA DG'!V11</f>
        <v>0.25</v>
      </c>
      <c r="C4" s="1552">
        <f>'PRENSA DG'!AA14</f>
        <v>0.25</v>
      </c>
      <c r="D4" s="1552">
        <f>'PRENSA DG'!AF14</f>
        <v>0.25</v>
      </c>
      <c r="E4" s="1552">
        <f>'PRENSA DG'!AJ13</f>
        <v>0.25</v>
      </c>
      <c r="F4" s="1553">
        <v>1</v>
      </c>
      <c r="G4" s="1553"/>
      <c r="H4" s="1554"/>
      <c r="I4" s="1554"/>
      <c r="J4" s="1554"/>
      <c r="K4" s="1555"/>
      <c r="L4" s="1552">
        <v>0.25</v>
      </c>
      <c r="S4" s="1552">
        <v>0.25</v>
      </c>
      <c r="T4" s="1552">
        <v>0.25</v>
      </c>
      <c r="U4" s="1838"/>
    </row>
    <row r="5" spans="1:21" x14ac:dyDescent="0.25">
      <c r="A5" s="1556" t="s">
        <v>1640</v>
      </c>
      <c r="B5" s="1557">
        <f>SUBDIRECCION!V12</f>
        <v>0.20749999999999999</v>
      </c>
      <c r="C5" s="1557" t="str">
        <f>SUBDIRECCION!AA12</f>
        <v>NP</v>
      </c>
      <c r="D5" s="1557">
        <f>SUBDIRECCION!AF12</f>
        <v>0.125</v>
      </c>
      <c r="E5" s="1557">
        <f>SUBDIRECCION!AK12</f>
        <v>0.25</v>
      </c>
      <c r="F5" s="1558">
        <v>1</v>
      </c>
      <c r="G5" s="1558"/>
      <c r="H5" s="1559">
        <v>0</v>
      </c>
      <c r="I5" s="1559"/>
      <c r="J5" s="1559"/>
      <c r="K5" s="1555"/>
      <c r="L5" s="1557">
        <v>0.125</v>
      </c>
      <c r="S5" s="1557">
        <v>0.25</v>
      </c>
      <c r="T5" s="1557">
        <v>0.20749999999999999</v>
      </c>
      <c r="U5" s="1838"/>
    </row>
    <row r="6" spans="1:21" x14ac:dyDescent="0.25">
      <c r="A6" s="1560" t="s">
        <v>1643</v>
      </c>
      <c r="B6" s="1561">
        <f>OAP!W24</f>
        <v>0.23799999999999999</v>
      </c>
      <c r="C6" s="1561">
        <f>OAP!AA24</f>
        <v>0.25</v>
      </c>
      <c r="D6" s="1561">
        <f>OAP!AJ24</f>
        <v>0.25</v>
      </c>
      <c r="E6" s="1561">
        <f>OAP!AJ24</f>
        <v>0.25</v>
      </c>
      <c r="F6" s="1562">
        <v>4</v>
      </c>
      <c r="G6" s="1562">
        <v>1</v>
      </c>
      <c r="H6" s="1563"/>
      <c r="I6" s="1563">
        <v>1</v>
      </c>
      <c r="J6" s="1563"/>
      <c r="K6" s="1564" t="s">
        <v>342</v>
      </c>
      <c r="L6" s="1561">
        <v>0.25</v>
      </c>
      <c r="S6" s="1561">
        <v>0.25</v>
      </c>
      <c r="T6" s="1561">
        <v>0.23799999999999999</v>
      </c>
      <c r="U6" s="1839"/>
    </row>
    <row r="7" spans="1:21" ht="21.75" customHeight="1" x14ac:dyDescent="0.25">
      <c r="A7" s="1560" t="s">
        <v>1823</v>
      </c>
      <c r="B7" s="1561">
        <f>OTA!W17</f>
        <v>0.22</v>
      </c>
      <c r="C7" s="1561">
        <f>OTA!AA18</f>
        <v>0.25</v>
      </c>
      <c r="D7" s="1561">
        <f>OTA!AF18</f>
        <v>0.24249999999999999</v>
      </c>
      <c r="E7" s="1561">
        <f>OTA!AK18</f>
        <v>0.24249999999999999</v>
      </c>
      <c r="F7" s="1562"/>
      <c r="G7" s="1562">
        <v>3</v>
      </c>
      <c r="H7" s="1563"/>
      <c r="I7" s="1563"/>
      <c r="J7" s="1563"/>
      <c r="K7" s="1565" t="s">
        <v>1851</v>
      </c>
      <c r="L7" s="1561">
        <v>0.24249999999999999</v>
      </c>
      <c r="S7" s="1561">
        <v>0.24249999999999999</v>
      </c>
      <c r="T7" s="1561">
        <v>0.22</v>
      </c>
      <c r="U7" s="1839"/>
    </row>
    <row r="8" spans="1:21" x14ac:dyDescent="0.25">
      <c r="A8" s="1560" t="s">
        <v>21</v>
      </c>
      <c r="B8" s="2624">
        <f>OCI!Y11</f>
        <v>0.23250000000000001</v>
      </c>
      <c r="C8" s="1561">
        <f>OCI!AC11</f>
        <v>0.19750000000000001</v>
      </c>
      <c r="D8" s="1561">
        <f>OCI!AH11</f>
        <v>0.19</v>
      </c>
      <c r="E8" s="1561">
        <f>OCI!AM11</f>
        <v>0.23250000000000001</v>
      </c>
      <c r="F8" s="1562">
        <v>1</v>
      </c>
      <c r="G8" s="1562"/>
      <c r="H8" s="1563"/>
      <c r="I8" s="1563"/>
      <c r="J8" s="1563"/>
      <c r="K8" s="1564" t="s">
        <v>1845</v>
      </c>
      <c r="L8" s="1561">
        <v>0.19</v>
      </c>
      <c r="S8" s="1561">
        <v>0.23250000000000001</v>
      </c>
      <c r="T8" s="1561">
        <v>0.23250000000000001</v>
      </c>
      <c r="U8" s="1839"/>
    </row>
    <row r="9" spans="1:21" x14ac:dyDescent="0.25">
      <c r="A9" s="1560" t="s">
        <v>1824</v>
      </c>
      <c r="B9" s="1561">
        <f>CEA!U24</f>
        <v>0.21</v>
      </c>
      <c r="C9" s="1561">
        <f>CEA!AB23</f>
        <v>0.2225</v>
      </c>
      <c r="D9" s="1561">
        <f>CEA!AG23</f>
        <v>0.2225</v>
      </c>
      <c r="E9" s="1561">
        <f>CEA!AL23</f>
        <v>0.24</v>
      </c>
      <c r="F9" s="1562">
        <v>6</v>
      </c>
      <c r="G9" s="1562">
        <v>1</v>
      </c>
      <c r="H9" s="1563"/>
      <c r="I9" s="1563">
        <v>1</v>
      </c>
      <c r="J9" s="1563"/>
      <c r="K9" s="1564" t="s">
        <v>1852</v>
      </c>
      <c r="L9" s="1561">
        <v>0.2225</v>
      </c>
      <c r="S9" s="1561">
        <v>0.24</v>
      </c>
      <c r="T9" s="1561">
        <v>0.21</v>
      </c>
      <c r="U9" s="1839"/>
    </row>
    <row r="10" spans="1:21" x14ac:dyDescent="0.25">
      <c r="A10" s="1560" t="s">
        <v>1571</v>
      </c>
      <c r="B10" s="1561">
        <f>OAJ!V15</f>
        <v>0.1</v>
      </c>
      <c r="C10" s="1561">
        <f>OAJ!AA17</f>
        <v>0.22500000000000001</v>
      </c>
      <c r="D10" s="1561">
        <f>OAJ!AF17</f>
        <v>0.245</v>
      </c>
      <c r="E10" s="1561">
        <f>OAJ!AK17</f>
        <v>0.245</v>
      </c>
      <c r="F10" s="1562">
        <v>3</v>
      </c>
      <c r="G10" s="1562"/>
      <c r="H10" s="1563"/>
      <c r="I10" s="1563"/>
      <c r="J10" s="1563"/>
      <c r="K10" s="1555"/>
      <c r="L10" s="1561">
        <v>0.245</v>
      </c>
      <c r="S10" s="1561">
        <v>0.245</v>
      </c>
      <c r="T10" s="1561">
        <v>0.1</v>
      </c>
      <c r="U10" s="1839"/>
    </row>
    <row r="11" spans="1:21" x14ac:dyDescent="0.25">
      <c r="A11" s="1560" t="s">
        <v>1825</v>
      </c>
      <c r="B11" s="1561">
        <f>COMERCIALIZACIÓN!W23</f>
        <v>0.24</v>
      </c>
      <c r="C11" s="1561">
        <f>COMERCIALIZACIÓN!AB25</f>
        <v>0.245</v>
      </c>
      <c r="D11" s="1561">
        <f>COMERCIALIZACIÓN!AG25</f>
        <v>0.2475</v>
      </c>
      <c r="E11" s="1561">
        <f>'OFI. REGISTRO'!AJ11</f>
        <v>0.25</v>
      </c>
      <c r="F11" s="1562">
        <v>2</v>
      </c>
      <c r="G11" s="1562">
        <v>2</v>
      </c>
      <c r="H11" s="1563">
        <v>0</v>
      </c>
      <c r="I11" s="1563"/>
      <c r="J11" s="1563"/>
      <c r="K11" s="1564" t="s">
        <v>1853</v>
      </c>
      <c r="L11" s="1561">
        <v>0.2475</v>
      </c>
      <c r="S11" s="1561">
        <v>0.25</v>
      </c>
      <c r="T11" s="1561">
        <v>0.24</v>
      </c>
      <c r="U11" s="1839"/>
    </row>
    <row r="12" spans="1:21" x14ac:dyDescent="0.25">
      <c r="A12" s="1560" t="s">
        <v>1832</v>
      </c>
      <c r="B12" s="1561">
        <f>'OFI. REGISTRO'!V11</f>
        <v>0.25</v>
      </c>
      <c r="C12" s="1561">
        <f>'OFI. REGISTRO'!Z11</f>
        <v>0.17249999999999999</v>
      </c>
      <c r="D12" s="1561">
        <f>'OFI. REGISTRO'!AE11</f>
        <v>0.2175</v>
      </c>
      <c r="E12" s="1561">
        <f>'OFI. REGISTRO'!AJ11</f>
        <v>0.25</v>
      </c>
      <c r="F12" s="1562"/>
      <c r="G12" s="1562"/>
      <c r="H12" s="1563"/>
      <c r="I12" s="1563">
        <v>1</v>
      </c>
      <c r="J12" s="1563"/>
      <c r="K12" s="1555"/>
      <c r="L12" s="1561">
        <v>0.2175</v>
      </c>
      <c r="S12" s="1561">
        <v>0.25</v>
      </c>
      <c r="T12" s="1561">
        <v>0.25</v>
      </c>
      <c r="U12" s="1839"/>
    </row>
    <row r="13" spans="1:21" x14ac:dyDescent="0.25">
      <c r="A13" s="1566" t="s">
        <v>27</v>
      </c>
      <c r="B13" s="1567"/>
      <c r="C13" s="1567"/>
      <c r="D13" s="1567"/>
      <c r="E13" s="1567"/>
      <c r="F13" s="1568">
        <f>F14+F15+F16+F17+F18+F19+F20+F22+F21</f>
        <v>26</v>
      </c>
      <c r="G13" s="1568">
        <f>G14+G15+G16+G17+G18+G19+G20+G22</f>
        <v>0</v>
      </c>
      <c r="H13" s="1569">
        <f>H14+H15+H16+H17+H18+H19+H20+H22</f>
        <v>0</v>
      </c>
      <c r="I13" s="1569"/>
      <c r="J13" s="1569"/>
      <c r="K13" s="1555"/>
      <c r="L13" s="1567"/>
      <c r="S13" s="1567"/>
      <c r="T13" s="1567"/>
      <c r="U13" s="1839"/>
    </row>
    <row r="14" spans="1:21" x14ac:dyDescent="0.25">
      <c r="A14" s="1551" t="s">
        <v>1826</v>
      </c>
      <c r="B14" s="1552">
        <f>' SSO'!U13</f>
        <v>0.218</v>
      </c>
      <c r="C14" s="1552">
        <f>' SSO'!Y12</f>
        <v>0.23250000000000001</v>
      </c>
      <c r="D14" s="1552">
        <f>' SSO'!AC12</f>
        <v>0.23250000000000001</v>
      </c>
      <c r="E14" s="1552">
        <f>' SSO'!AH12</f>
        <v>0.23749999999999999</v>
      </c>
      <c r="F14" s="1570">
        <v>1</v>
      </c>
      <c r="G14" s="1554"/>
      <c r="H14" s="1554"/>
      <c r="I14" s="1554"/>
      <c r="J14" s="1554"/>
      <c r="K14" s="1555"/>
      <c r="L14" s="1552">
        <v>0.23250000000000001</v>
      </c>
      <c r="S14" s="1552">
        <v>0.23749999999999999</v>
      </c>
      <c r="T14" s="1552">
        <v>0.218</v>
      </c>
      <c r="U14" s="1839"/>
    </row>
    <row r="15" spans="1:21" x14ac:dyDescent="0.25">
      <c r="A15" s="1551" t="s">
        <v>1827</v>
      </c>
      <c r="B15" s="1552">
        <f>'SSO DIR TEL'!X11</f>
        <v>0.22500000000000001</v>
      </c>
      <c r="C15" s="1552">
        <f>'SSO DIR TEL'!AB11</f>
        <v>0.1875</v>
      </c>
      <c r="D15" s="1552">
        <f>'SSO DIR TEL'!AF11</f>
        <v>0.1875</v>
      </c>
      <c r="E15" s="1552">
        <f>'SSO DIR TEL'!AK11</f>
        <v>0.215</v>
      </c>
      <c r="F15" s="1570">
        <v>1</v>
      </c>
      <c r="G15" s="1554"/>
      <c r="H15" s="1554"/>
      <c r="I15" s="1554"/>
      <c r="J15" s="1554"/>
      <c r="K15" s="1555"/>
      <c r="L15" s="1552">
        <v>0.1875</v>
      </c>
      <c r="S15" s="1552">
        <v>0.215</v>
      </c>
      <c r="T15" s="1552">
        <v>0.22500000000000001</v>
      </c>
      <c r="U15" s="1839"/>
    </row>
    <row r="16" spans="1:21" x14ac:dyDescent="0.25">
      <c r="A16" s="1551" t="s">
        <v>1828</v>
      </c>
      <c r="B16" s="1552">
        <f>'SSO DIA'!W8</f>
        <v>0.16900000000000001</v>
      </c>
      <c r="C16" s="1552">
        <f>'SSO DIA'!Z8</f>
        <v>0.22057500000000002</v>
      </c>
      <c r="D16" s="1552">
        <f>'SSO DIA'!AI8</f>
        <v>0.14117499999999999</v>
      </c>
      <c r="E16" s="1552">
        <f>'SSO DIA'!AN8</f>
        <v>0.24412500000000001</v>
      </c>
      <c r="F16" s="1570">
        <v>1</v>
      </c>
      <c r="G16" s="1554"/>
      <c r="H16" s="1554"/>
      <c r="I16" s="1554"/>
      <c r="J16" s="1554"/>
      <c r="K16" s="1555"/>
      <c r="L16" s="1552">
        <v>0.14117499999999999</v>
      </c>
      <c r="S16" s="1552">
        <v>0.24412500000000001</v>
      </c>
      <c r="T16" s="1552">
        <v>0.16900000000000001</v>
      </c>
      <c r="U16" s="1839"/>
    </row>
    <row r="17" spans="1:21" x14ac:dyDescent="0.25">
      <c r="A17" s="1551" t="s">
        <v>1829</v>
      </c>
      <c r="B17" s="1552">
        <f>'SSO DSNA'!Y38</f>
        <v>0.155</v>
      </c>
      <c r="C17" s="1552">
        <f>'SSO DSNA'!AB38</f>
        <v>0.17749999999999999</v>
      </c>
      <c r="D17" s="1552">
        <f>'SSO DSNA'!AG38</f>
        <v>0.2</v>
      </c>
      <c r="E17" s="1552">
        <f>'SSO DSNA'!AL38</f>
        <v>0.20499999999999999</v>
      </c>
      <c r="F17" s="1570">
        <v>10</v>
      </c>
      <c r="G17" s="1554"/>
      <c r="H17" s="1554"/>
      <c r="I17" s="1554"/>
      <c r="J17" s="1554"/>
      <c r="K17" s="1555"/>
      <c r="L17" s="1552">
        <v>0.2</v>
      </c>
      <c r="S17" s="1552">
        <v>0.20499999999999999</v>
      </c>
      <c r="T17" s="1552">
        <v>0.155</v>
      </c>
      <c r="U17" s="1839"/>
    </row>
    <row r="18" spans="1:21" x14ac:dyDescent="0.25">
      <c r="A18" s="1551" t="s">
        <v>1830</v>
      </c>
      <c r="B18" s="1552">
        <f>'SSO DSA'!W11</f>
        <v>0.24</v>
      </c>
      <c r="C18" s="1552">
        <f>'SSO DSA'!AA13</f>
        <v>0.21249999999999999</v>
      </c>
      <c r="D18" s="1552">
        <f>'SSO DSA'!AF13</f>
        <v>0.21249999999999999</v>
      </c>
      <c r="E18" s="1552">
        <f>'SSO DSA'!AK13</f>
        <v>0.23250000000000001</v>
      </c>
      <c r="F18" s="1570">
        <v>1</v>
      </c>
      <c r="G18" s="1554"/>
      <c r="H18" s="1554"/>
      <c r="I18" s="1554"/>
      <c r="J18" s="1554"/>
      <c r="K18" s="1555"/>
      <c r="L18" s="1552">
        <v>0.21249999999999999</v>
      </c>
      <c r="S18" s="1552">
        <v>0.23250000000000001</v>
      </c>
      <c r="T18" s="1552">
        <v>0.24</v>
      </c>
      <c r="U18" s="1839"/>
    </row>
    <row r="19" spans="1:21" x14ac:dyDescent="0.25">
      <c r="A19" s="1551" t="s">
        <v>1831</v>
      </c>
      <c r="B19" s="2623">
        <v>0.245</v>
      </c>
      <c r="C19" s="1552">
        <f>'SSO GRUPO PROYECTOS'!Z9</f>
        <v>0.23499999999999999</v>
      </c>
      <c r="D19" s="1552">
        <f>'SSO GRUPO PROYECTOS'!AE9</f>
        <v>0.1825</v>
      </c>
      <c r="E19" s="1552">
        <f>'SSO GRUPO PROYECTOS'!AJ9</f>
        <v>0.245</v>
      </c>
      <c r="F19" s="1570">
        <v>1</v>
      </c>
      <c r="G19" s="1554"/>
      <c r="H19" s="1554"/>
      <c r="I19" s="1554"/>
      <c r="J19" s="1554"/>
      <c r="K19" s="1555"/>
      <c r="L19" s="1552">
        <v>0.1825</v>
      </c>
      <c r="S19" s="1552">
        <v>0.245</v>
      </c>
      <c r="T19" s="1552">
        <v>0.245</v>
      </c>
      <c r="U19" s="1839"/>
    </row>
    <row r="20" spans="1:21" x14ac:dyDescent="0.25">
      <c r="A20" s="1551" t="s">
        <v>2574</v>
      </c>
      <c r="B20" s="1552">
        <f>'SSO GRUPO PLANIFICACION AEROP'!W13</f>
        <v>0.23899999999999999</v>
      </c>
      <c r="C20" s="1552">
        <f>'SSO GRUPO PLANIFICACION AEROP'!Z11</f>
        <v>0.20499999999999999</v>
      </c>
      <c r="D20" s="1552">
        <f>'SSO GRUPO PLANIFICACION AEROP'!AE11</f>
        <v>0.20499999999999999</v>
      </c>
      <c r="E20" s="1552">
        <f>'SSO GRUPO PLANIFICACION AEROP'!AJ11</f>
        <v>0.23749999999999999</v>
      </c>
      <c r="F20" s="1570">
        <v>4</v>
      </c>
      <c r="G20" s="1554"/>
      <c r="H20" s="1554"/>
      <c r="I20" s="1554"/>
      <c r="J20" s="1554"/>
      <c r="K20" s="1555"/>
      <c r="L20" s="1552">
        <v>0.20499999999999999</v>
      </c>
      <c r="S20" s="1552">
        <v>0.23749999999999999</v>
      </c>
      <c r="T20" s="1552">
        <v>0.23899999999999999</v>
      </c>
      <c r="U20" s="1839"/>
    </row>
    <row r="21" spans="1:21" x14ac:dyDescent="0.25">
      <c r="A21" s="1551" t="s">
        <v>1834</v>
      </c>
      <c r="B21" s="1552">
        <f>'SMS-QA'!W22</f>
        <v>0.15</v>
      </c>
      <c r="C21" s="1552">
        <f>'SMS-QA'!AA21</f>
        <v>0.22750000000000001</v>
      </c>
      <c r="D21" s="1552">
        <f>'SMS-QA'!AE21</f>
        <v>0.215</v>
      </c>
      <c r="E21" s="1552">
        <f>'SMS-QA'!AJ21</f>
        <v>0.245</v>
      </c>
      <c r="F21" s="1570">
        <v>5</v>
      </c>
      <c r="G21" s="1554"/>
      <c r="H21" s="1554"/>
      <c r="I21" s="1554"/>
      <c r="J21" s="1554"/>
      <c r="K21" s="1555"/>
      <c r="L21" s="1552">
        <v>0.215</v>
      </c>
      <c r="S21" s="1552">
        <v>0.245</v>
      </c>
      <c r="T21" s="1552">
        <v>0.15</v>
      </c>
      <c r="U21" s="1839"/>
    </row>
    <row r="22" spans="1:21" ht="24" x14ac:dyDescent="0.25">
      <c r="A22" s="1571" t="s">
        <v>1833</v>
      </c>
      <c r="B22" s="1552">
        <f>'COOR SEG SERV OPER'!V7</f>
        <v>0.14300000000000002</v>
      </c>
      <c r="C22" s="1552">
        <f>'COOR SEG SERV OPER'!Z10</f>
        <v>0.24</v>
      </c>
      <c r="D22" s="1552">
        <f>'COOR SEG SERV OPER'!AE10</f>
        <v>0.25</v>
      </c>
      <c r="E22" s="1552">
        <f>'COOR SEG SERV OPER'!AE10</f>
        <v>0.25</v>
      </c>
      <c r="F22" s="1570">
        <v>2</v>
      </c>
      <c r="G22" s="1554"/>
      <c r="H22" s="1554"/>
      <c r="I22" s="1554"/>
      <c r="J22" s="1554"/>
      <c r="K22" s="1555"/>
      <c r="L22" s="1552">
        <v>0.25</v>
      </c>
      <c r="S22" s="1552">
        <v>0.25</v>
      </c>
      <c r="T22" s="1552">
        <v>0.14300000000000002</v>
      </c>
      <c r="U22" s="1839"/>
    </row>
    <row r="23" spans="1:21" ht="24" x14ac:dyDescent="0.25">
      <c r="A23" s="1572" t="s">
        <v>1848</v>
      </c>
      <c r="B23" s="1548"/>
      <c r="C23" s="1548"/>
      <c r="D23" s="1548"/>
      <c r="E23" s="1548"/>
      <c r="F23" s="1549">
        <f>F24</f>
        <v>6</v>
      </c>
      <c r="G23" s="1549">
        <f>G24+G21</f>
        <v>2</v>
      </c>
      <c r="H23" s="1549">
        <f>H24+H21</f>
        <v>0</v>
      </c>
      <c r="I23" s="1549"/>
      <c r="J23" s="1549"/>
      <c r="K23" s="1555"/>
      <c r="L23" s="1548"/>
      <c r="S23" s="1548"/>
      <c r="T23" s="1548"/>
      <c r="U23" s="1839"/>
    </row>
    <row r="24" spans="1:21" ht="20.25" customHeight="1" x14ac:dyDescent="0.25">
      <c r="A24" s="1551" t="s">
        <v>1826</v>
      </c>
      <c r="B24" s="1552">
        <f>'SEC SEG OPERAC Y AVIAC CIVIL'!W36</f>
        <v>0.1275</v>
      </c>
      <c r="C24" s="1552">
        <f>'SEC SEG OPERAC Y AVIAC CIVIL'!AB38</f>
        <v>0.2175</v>
      </c>
      <c r="D24" s="1552">
        <f>'SEC SEG OPERAC Y AVIAC CIVIL'!AG38</f>
        <v>0.23499999999999999</v>
      </c>
      <c r="E24" s="1552">
        <f>'SEC SEG OPERAC Y AVIAC CIVIL'!AL38</f>
        <v>0.24249999999999999</v>
      </c>
      <c r="F24" s="1570">
        <v>6</v>
      </c>
      <c r="G24" s="1553">
        <v>2</v>
      </c>
      <c r="H24" s="1554"/>
      <c r="I24" s="1554"/>
      <c r="J24" s="1554"/>
      <c r="K24" s="1564" t="s">
        <v>1854</v>
      </c>
      <c r="L24" s="1552">
        <v>0.23499999999999999</v>
      </c>
      <c r="S24" s="1552">
        <v>0.24249999999999999</v>
      </c>
      <c r="T24" s="1552">
        <v>0.1275</v>
      </c>
      <c r="U24" s="1839"/>
    </row>
    <row r="25" spans="1:21" x14ac:dyDescent="0.25">
      <c r="A25" s="1572" t="s">
        <v>1835</v>
      </c>
      <c r="B25" s="1548">
        <f>'SECRETARIA GENERAL'!X14</f>
        <v>8.7499999999999994E-2</v>
      </c>
      <c r="C25" s="1548">
        <f>'SECRETARIA GENERAL'!AB17</f>
        <v>0.25</v>
      </c>
      <c r="D25" s="1548">
        <f>'SECRETARIA GENERAL'!AG17</f>
        <v>0.25</v>
      </c>
      <c r="E25" s="2623">
        <f>'SECRETARIA GENERAL'!AL17</f>
        <v>0.25</v>
      </c>
      <c r="F25" s="1549">
        <f>F26+F27+F28+F29</f>
        <v>13</v>
      </c>
      <c r="G25" s="1549">
        <f>G26+G27+G28+G29</f>
        <v>0</v>
      </c>
      <c r="H25" s="1549">
        <f>H26+H27+H28+H29</f>
        <v>0</v>
      </c>
      <c r="I25" s="1549"/>
      <c r="J25" s="1549"/>
      <c r="K25" s="1555"/>
      <c r="L25" s="1548">
        <v>0.25</v>
      </c>
      <c r="S25" s="1548"/>
      <c r="T25" s="1548">
        <v>8.7499999999999994E-2</v>
      </c>
      <c r="U25" s="1839"/>
    </row>
    <row r="26" spans="1:21" x14ac:dyDescent="0.25">
      <c r="A26" s="1551" t="s">
        <v>1836</v>
      </c>
      <c r="B26" s="1552">
        <f>'SEC GRAL DIR FRA'!V13</f>
        <v>0.13250000000000001</v>
      </c>
      <c r="C26" s="1552">
        <f>'SEC GRAL DIR FRA'!AB16</f>
        <v>0.245</v>
      </c>
      <c r="D26" s="1552">
        <f>'SEC GRAL DIR FRA'!AG16</f>
        <v>0.245</v>
      </c>
      <c r="E26" s="1552">
        <f>'SEC GRAL DIR FRA'!AL16</f>
        <v>0.25</v>
      </c>
      <c r="F26" s="1553">
        <v>2</v>
      </c>
      <c r="G26" s="1554"/>
      <c r="H26" s="1554"/>
      <c r="I26" s="1554"/>
      <c r="J26" s="1554"/>
      <c r="K26" s="1555"/>
      <c r="L26" s="1552">
        <v>0.245</v>
      </c>
      <c r="S26" s="1552">
        <v>0.25</v>
      </c>
      <c r="T26" s="1552">
        <v>0.13250000000000001</v>
      </c>
      <c r="U26" s="1839"/>
    </row>
    <row r="27" spans="1:21" x14ac:dyDescent="0.25">
      <c r="A27" s="1551" t="s">
        <v>1837</v>
      </c>
      <c r="B27" s="1552">
        <f>'SEC GRAL DIR ADM'!W13</f>
        <v>0.1125</v>
      </c>
      <c r="C27" s="1552">
        <f>'SEC GRAL DIR ADM'!AB16</f>
        <v>0.25</v>
      </c>
      <c r="D27" s="1552">
        <f>'SEC GRAL DIR ADM'!AG16</f>
        <v>0.25</v>
      </c>
      <c r="E27" s="1552">
        <f>'SEC GRAL DIR ADM'!AL16</f>
        <v>0.20250000000000001</v>
      </c>
      <c r="F27" s="1553">
        <v>2</v>
      </c>
      <c r="G27" s="1554"/>
      <c r="H27" s="1554"/>
      <c r="I27" s="1554"/>
      <c r="J27" s="1554"/>
      <c r="K27" s="1555"/>
      <c r="L27" s="1552">
        <v>0.25</v>
      </c>
      <c r="S27" s="1552">
        <v>0.20250000000000001</v>
      </c>
      <c r="T27" s="1552">
        <v>0.1125</v>
      </c>
      <c r="U27" s="1839"/>
    </row>
    <row r="28" spans="1:21" x14ac:dyDescent="0.25">
      <c r="A28" s="1551" t="s">
        <v>1838</v>
      </c>
      <c r="B28" s="1552">
        <f>'SEC GRAL DIR TH'!Y16</f>
        <v>0.21249999999999999</v>
      </c>
      <c r="C28" s="1552">
        <f>'SEC GRAL DIR TH'!AB19</f>
        <v>0.23749999999999999</v>
      </c>
      <c r="D28" s="1552">
        <f>'SEC GRAL DIR TH'!AG19</f>
        <v>0.25</v>
      </c>
      <c r="E28" s="1552">
        <f>'SEC GRAL DIR TH'!AL19</f>
        <v>0.23250000000000001</v>
      </c>
      <c r="F28" s="1570">
        <v>3</v>
      </c>
      <c r="G28" s="1554"/>
      <c r="H28" s="1554"/>
      <c r="I28" s="1554"/>
      <c r="J28" s="1554"/>
      <c r="K28" s="1555"/>
      <c r="L28" s="1552">
        <v>0.25</v>
      </c>
      <c r="S28" s="1552">
        <v>0.23250000000000001</v>
      </c>
      <c r="T28" s="1552">
        <v>0.21249999999999999</v>
      </c>
      <c r="U28" s="1839"/>
    </row>
    <row r="29" spans="1:21" x14ac:dyDescent="0.25">
      <c r="A29" s="1551" t="s">
        <v>1839</v>
      </c>
      <c r="B29" s="1552">
        <f>INFORMATICA!V31</f>
        <v>0.23250000000000001</v>
      </c>
      <c r="C29" s="1552">
        <f>INFORMATICA!AA30</f>
        <v>0.22</v>
      </c>
      <c r="D29" s="1552">
        <f>INFORMATICA!AE30</f>
        <v>0.245</v>
      </c>
      <c r="E29" s="1552">
        <f>INFORMATICA!AJ30</f>
        <v>0.23250000000000001</v>
      </c>
      <c r="F29" s="1570">
        <v>6</v>
      </c>
      <c r="G29" s="1554"/>
      <c r="H29" s="1573">
        <v>0</v>
      </c>
      <c r="I29" s="1573"/>
      <c r="J29" s="1573"/>
      <c r="K29" s="1555"/>
      <c r="L29" s="1552">
        <v>0.245</v>
      </c>
      <c r="S29" s="1552">
        <v>0.23250000000000001</v>
      </c>
      <c r="T29" s="1552">
        <v>0.23250000000000001</v>
      </c>
      <c r="U29" s="1839"/>
    </row>
    <row r="30" spans="1:21" ht="12.75" thickBot="1" x14ac:dyDescent="0.3">
      <c r="A30" s="1572" t="s">
        <v>1840</v>
      </c>
      <c r="B30" s="1548"/>
      <c r="C30" s="1548"/>
      <c r="D30" s="1548"/>
      <c r="E30" s="1548"/>
      <c r="F30" s="1549">
        <f>F31+F33+F34+F32</f>
        <v>4</v>
      </c>
      <c r="G30" s="1549">
        <f>G31+G33+G34</f>
        <v>0</v>
      </c>
      <c r="H30" s="1549">
        <f>H31+H33+H34</f>
        <v>0</v>
      </c>
      <c r="I30" s="1549"/>
      <c r="J30" s="1549"/>
      <c r="K30" s="1555"/>
      <c r="L30" s="1548"/>
      <c r="S30" s="1548"/>
      <c r="T30" s="1548"/>
      <c r="U30" s="1839"/>
    </row>
    <row r="31" spans="1:21" ht="36" x14ac:dyDescent="0.25">
      <c r="A31" s="1925" t="s">
        <v>76</v>
      </c>
      <c r="B31" s="1574" t="s">
        <v>2090</v>
      </c>
      <c r="C31" s="1574" t="s">
        <v>2529</v>
      </c>
      <c r="D31" s="1574" t="s">
        <v>2859</v>
      </c>
      <c r="E31" s="1574" t="s">
        <v>3040</v>
      </c>
      <c r="F31" s="1553">
        <v>1</v>
      </c>
      <c r="G31" s="1554"/>
      <c r="H31" s="1554"/>
      <c r="I31" s="1554"/>
      <c r="J31" s="1554"/>
      <c r="K31" s="1555"/>
      <c r="L31" s="1574" t="s">
        <v>2861</v>
      </c>
      <c r="M31" s="1712">
        <f>68.1%/77.4%</f>
        <v>0.87984496124030998</v>
      </c>
      <c r="N31" s="1663">
        <v>0.77400000000000002</v>
      </c>
      <c r="O31" s="1928" t="s">
        <v>2779</v>
      </c>
      <c r="Q31" s="1713">
        <f>(M31*25%)</f>
        <v>0.21996124031007749</v>
      </c>
      <c r="S31" s="1574" t="s">
        <v>3057</v>
      </c>
      <c r="T31" s="1574">
        <v>0.25</v>
      </c>
      <c r="U31" s="1839"/>
    </row>
    <row r="32" spans="1:21" ht="36.75" thickBot="1" x14ac:dyDescent="0.3">
      <c r="A32" s="1925"/>
      <c r="B32" s="1574" t="s">
        <v>2091</v>
      </c>
      <c r="C32" s="1574" t="s">
        <v>2530</v>
      </c>
      <c r="D32" s="1574" t="s">
        <v>2860</v>
      </c>
      <c r="E32" s="1574" t="s">
        <v>3041</v>
      </c>
      <c r="F32" s="1553">
        <v>1</v>
      </c>
      <c r="G32" s="1554"/>
      <c r="H32" s="1554"/>
      <c r="I32" s="1554"/>
      <c r="J32" s="1554"/>
      <c r="K32" s="1555"/>
      <c r="L32" s="1574" t="s">
        <v>2862</v>
      </c>
      <c r="M32" s="1712">
        <f>46.4%/54.7%</f>
        <v>0.84826325411334536</v>
      </c>
      <c r="N32" s="1664">
        <v>0.54700000000000004</v>
      </c>
      <c r="O32" s="1929"/>
      <c r="Q32" s="1713">
        <f>(84.8%*25%)</f>
        <v>0.21199999999999999</v>
      </c>
      <c r="S32" s="1574" t="s">
        <v>3058</v>
      </c>
      <c r="T32" s="1574">
        <v>0.25</v>
      </c>
      <c r="U32" s="1839"/>
    </row>
    <row r="33" spans="1:21" ht="48" x14ac:dyDescent="0.25">
      <c r="A33" s="1571" t="s">
        <v>2391</v>
      </c>
      <c r="B33" s="1552">
        <f>'COMPROMISOS TRANSVERSALES'!U14</f>
        <v>1.175E-2</v>
      </c>
      <c r="C33" s="1552">
        <f>'COMPROMISOS TRANSVERSALES'!X16</f>
        <v>0.23499999999999999</v>
      </c>
      <c r="D33" s="1552">
        <f>'COMPROMISOS TRANSVERSALES'!AC16</f>
        <v>0.23499999999999999</v>
      </c>
      <c r="E33" s="1552">
        <f>'COMPROMISOS TRANSVERSALES'!AH16</f>
        <v>0.22500000000000001</v>
      </c>
      <c r="F33" s="1553">
        <v>1</v>
      </c>
      <c r="G33" s="1554"/>
      <c r="H33" s="1554"/>
      <c r="I33" s="1554"/>
      <c r="J33" s="1554"/>
      <c r="K33" s="1555"/>
      <c r="L33" s="1552">
        <v>0.23499999999999999</v>
      </c>
      <c r="S33" s="1552">
        <v>0.22500000000000001</v>
      </c>
      <c r="T33" s="1552">
        <v>1.175E-2</v>
      </c>
      <c r="U33" s="1839"/>
    </row>
    <row r="34" spans="1:21" ht="36" x14ac:dyDescent="0.25">
      <c r="A34" s="1571" t="s">
        <v>2392</v>
      </c>
      <c r="B34" s="1552">
        <f>'COMPROMISOS TRANSVERSALES'!U17</f>
        <v>3.925E-2</v>
      </c>
      <c r="C34" s="1552">
        <f>'COMPROMISOS TRANSVERSALES'!X17</f>
        <v>0.23</v>
      </c>
      <c r="D34" s="1552">
        <f>'COMPROMISOS TRANSVERSALES'!AC17</f>
        <v>0.23</v>
      </c>
      <c r="E34" s="1552">
        <f>'COMPROMISOS TRANSVERSALES'!AH17</f>
        <v>0.25</v>
      </c>
      <c r="F34" s="1553">
        <v>1</v>
      </c>
      <c r="G34" s="1554"/>
      <c r="H34" s="1554"/>
      <c r="I34" s="1554"/>
      <c r="J34" s="1554"/>
      <c r="K34" s="1555"/>
      <c r="L34" s="1552">
        <v>0.23</v>
      </c>
      <c r="S34" s="1552">
        <v>0.25</v>
      </c>
      <c r="T34" s="1552">
        <v>3.925E-2</v>
      </c>
      <c r="U34" s="1839"/>
    </row>
    <row r="35" spans="1:21" x14ac:dyDescent="0.25">
      <c r="A35" s="702" t="s">
        <v>1849</v>
      </c>
      <c r="B35" s="728">
        <v>0.18529999999999999</v>
      </c>
      <c r="C35" s="728">
        <v>0.22650000000000001</v>
      </c>
      <c r="D35" s="728">
        <v>0.22140000000000001</v>
      </c>
      <c r="E35" s="728">
        <v>0.23830000000000001</v>
      </c>
      <c r="F35" s="703">
        <f>F30+F25+F23+F13+F12+F11+F10+F9+F8+F7+F6+F5+F3</f>
        <v>67</v>
      </c>
      <c r="G35" s="703">
        <f>G30+G25+G23+G13+G12+G11+G10+G9+G8+G7+G6+G5+G3</f>
        <v>9</v>
      </c>
      <c r="H35" s="703">
        <f>H30+H25+H23+H13+H12+H11+H10+H9+H8+H7+H6+H5+H3</f>
        <v>0</v>
      </c>
      <c r="I35" s="703"/>
      <c r="J35" s="703"/>
      <c r="K35" s="1575"/>
      <c r="L35" s="728">
        <v>0.22140000000000001</v>
      </c>
      <c r="S35" s="703"/>
    </row>
    <row r="36" spans="1:21" x14ac:dyDescent="0.25">
      <c r="B36" s="1595"/>
      <c r="C36" s="1596"/>
    </row>
    <row r="37" spans="1:21" x14ac:dyDescent="0.25">
      <c r="B37" s="1595"/>
      <c r="C37" s="1596"/>
    </row>
    <row r="38" spans="1:21" ht="39" customHeight="1" x14ac:dyDescent="0.25">
      <c r="A38" s="2627" t="s">
        <v>3064</v>
      </c>
      <c r="B38" s="2626"/>
      <c r="C38" s="2626"/>
      <c r="D38" s="2626"/>
      <c r="E38" s="2626"/>
    </row>
    <row r="39" spans="1:21" x14ac:dyDescent="0.25">
      <c r="A39" s="2625"/>
    </row>
    <row r="40" spans="1:21" ht="36.75" customHeight="1" x14ac:dyDescent="0.25">
      <c r="A40" s="2625"/>
    </row>
  </sheetData>
  <autoFilter ref="A2:K35"/>
  <mergeCells count="4">
    <mergeCell ref="A31:A32"/>
    <mergeCell ref="A1:E1"/>
    <mergeCell ref="O31:O32"/>
    <mergeCell ref="A38:E38"/>
  </mergeCell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Y240"/>
  <sheetViews>
    <sheetView view="pageBreakPreview" zoomScaleNormal="40" zoomScaleSheetLayoutView="100" workbookViewId="0">
      <pane xSplit="1" ySplit="3" topLeftCell="H230" activePane="bottomRight" state="frozen"/>
      <selection pane="topRight" activeCell="B1" sqref="B1"/>
      <selection pane="bottomLeft" activeCell="A4" sqref="A4"/>
      <selection pane="bottomRight" activeCell="X235" sqref="D4:X235"/>
    </sheetView>
  </sheetViews>
  <sheetFormatPr baseColWidth="10" defaultRowHeight="16.5" x14ac:dyDescent="0.3"/>
  <cols>
    <col min="1" max="1" width="4" style="18" customWidth="1"/>
    <col min="2" max="2" width="14.140625" style="18" customWidth="1"/>
    <col min="3" max="3" width="28.140625" style="339" customWidth="1"/>
    <col min="4" max="4" width="27.7109375" style="17" customWidth="1"/>
    <col min="5" max="5" width="53.5703125" style="17" customWidth="1"/>
    <col min="6" max="6" width="27.28515625" customWidth="1"/>
    <col min="7" max="7" width="32.28515625" customWidth="1"/>
    <col min="8" max="8" width="39.42578125" customWidth="1"/>
    <col min="9" max="9" width="28" customWidth="1"/>
    <col min="10" max="10" width="43" style="337" customWidth="1"/>
    <col min="11" max="11" width="23.5703125" hidden="1" customWidth="1"/>
    <col min="12" max="12" width="19.85546875" hidden="1" customWidth="1"/>
    <col min="15" max="16" width="11.42578125" customWidth="1"/>
    <col min="17" max="17" width="15.28515625" customWidth="1"/>
    <col min="21" max="21" width="14.85546875" bestFit="1" customWidth="1"/>
    <col min="22" max="22" width="11.5703125" bestFit="1" customWidth="1"/>
    <col min="23" max="23" width="14.85546875" bestFit="1" customWidth="1"/>
    <col min="24" max="24" width="13.42578125" bestFit="1" customWidth="1"/>
  </cols>
  <sheetData>
    <row r="1" spans="1:24" ht="53.25" customHeight="1" thickTop="1" thickBot="1" x14ac:dyDescent="0.3">
      <c r="C1" s="2579" t="s">
        <v>1292</v>
      </c>
      <c r="D1" s="2579"/>
      <c r="E1" s="2579"/>
      <c r="F1" s="2579"/>
      <c r="G1" s="2579"/>
      <c r="H1" s="2579"/>
      <c r="I1" s="2579"/>
      <c r="J1" s="464"/>
      <c r="K1" s="309"/>
      <c r="M1" s="2470" t="s">
        <v>1351</v>
      </c>
      <c r="N1" s="2471"/>
      <c r="O1" s="2471"/>
      <c r="P1" s="2471"/>
      <c r="Q1" s="2471"/>
      <c r="R1" s="2471"/>
      <c r="S1" s="2471"/>
      <c r="T1" s="2471"/>
      <c r="U1" s="2471"/>
      <c r="V1" s="2471"/>
      <c r="W1" s="2471"/>
      <c r="X1" s="2471"/>
    </row>
    <row r="2" spans="1:24" ht="12.75" customHeight="1" thickTop="1" x14ac:dyDescent="0.25">
      <c r="C2" s="338"/>
      <c r="D2" s="16"/>
      <c r="E2" s="2"/>
      <c r="F2" s="2"/>
      <c r="G2" s="2"/>
      <c r="H2" s="2"/>
      <c r="I2" s="2"/>
      <c r="J2" s="334"/>
      <c r="K2" s="2"/>
    </row>
    <row r="3" spans="1:24" s="9" customFormat="1" ht="51.75" customHeight="1" thickBot="1" x14ac:dyDescent="0.25">
      <c r="A3" s="10"/>
      <c r="B3" s="10"/>
      <c r="C3" s="332" t="s">
        <v>1221</v>
      </c>
      <c r="D3" s="332" t="s">
        <v>47</v>
      </c>
      <c r="E3" s="333" t="s">
        <v>0</v>
      </c>
      <c r="F3" s="333" t="s">
        <v>1</v>
      </c>
      <c r="G3" s="333" t="s">
        <v>51</v>
      </c>
      <c r="H3" s="333" t="s">
        <v>2</v>
      </c>
      <c r="I3" s="333" t="s">
        <v>3</v>
      </c>
      <c r="J3" s="346" t="s">
        <v>1291</v>
      </c>
      <c r="K3" s="346"/>
      <c r="L3" s="346"/>
      <c r="M3" s="400" t="s">
        <v>1352</v>
      </c>
      <c r="N3" s="400" t="s">
        <v>1353</v>
      </c>
      <c r="O3" s="400" t="s">
        <v>1354</v>
      </c>
      <c r="P3" s="400" t="s">
        <v>1355</v>
      </c>
      <c r="Q3" s="400" t="s">
        <v>1356</v>
      </c>
      <c r="R3" s="400" t="s">
        <v>1357</v>
      </c>
      <c r="S3" s="400" t="s">
        <v>1358</v>
      </c>
      <c r="T3" s="400" t="s">
        <v>1359</v>
      </c>
      <c r="U3" s="400" t="s">
        <v>1360</v>
      </c>
      <c r="V3" s="400" t="s">
        <v>1361</v>
      </c>
      <c r="W3" s="400" t="s">
        <v>1362</v>
      </c>
      <c r="X3" s="400" t="s">
        <v>1363</v>
      </c>
    </row>
    <row r="4" spans="1:24" s="9" customFormat="1" ht="31.5" customHeight="1" thickBot="1" x14ac:dyDescent="0.25">
      <c r="A4" s="10"/>
      <c r="B4" s="10"/>
      <c r="C4" s="1887" t="s">
        <v>1334</v>
      </c>
      <c r="D4" s="2580" t="s">
        <v>50</v>
      </c>
      <c r="E4" s="2581" t="s">
        <v>71</v>
      </c>
      <c r="F4" s="2582">
        <v>1</v>
      </c>
      <c r="G4" s="2583" t="s">
        <v>1219</v>
      </c>
      <c r="H4" s="2583" t="s">
        <v>1220</v>
      </c>
      <c r="I4" s="2580" t="s">
        <v>26</v>
      </c>
      <c r="J4" s="465" t="s">
        <v>1225</v>
      </c>
      <c r="K4" s="325">
        <v>43465</v>
      </c>
      <c r="L4" s="326"/>
      <c r="M4" s="411"/>
      <c r="N4" s="412"/>
      <c r="O4" s="412"/>
      <c r="P4" s="412"/>
      <c r="Q4" s="412"/>
      <c r="R4" s="412"/>
      <c r="S4" s="412"/>
      <c r="T4" s="412"/>
      <c r="U4" s="412"/>
      <c r="V4" s="412"/>
      <c r="W4" s="412"/>
      <c r="X4" s="413"/>
    </row>
    <row r="5" spans="1:24" s="9" customFormat="1" ht="24.75" customHeight="1" thickBot="1" x14ac:dyDescent="0.25">
      <c r="A5" s="10"/>
      <c r="B5" s="10"/>
      <c r="C5" s="1887"/>
      <c r="D5" s="2580"/>
      <c r="E5" s="2581"/>
      <c r="F5" s="2582"/>
      <c r="G5" s="2583"/>
      <c r="H5" s="2583"/>
      <c r="I5" s="2580"/>
      <c r="J5" s="465" t="s">
        <v>1222</v>
      </c>
      <c r="K5" s="325">
        <v>43465</v>
      </c>
      <c r="L5" s="326"/>
      <c r="M5" s="414"/>
      <c r="N5" s="415"/>
      <c r="O5" s="415"/>
      <c r="P5" s="415"/>
      <c r="Q5" s="415"/>
      <c r="R5" s="415"/>
      <c r="S5" s="415"/>
      <c r="T5" s="415"/>
      <c r="U5" s="415"/>
      <c r="V5" s="415"/>
      <c r="W5" s="415"/>
      <c r="X5" s="416"/>
    </row>
    <row r="6" spans="1:24" s="9" customFormat="1" ht="27.75" customHeight="1" thickBot="1" x14ac:dyDescent="0.25">
      <c r="A6" s="10"/>
      <c r="B6" s="10"/>
      <c r="C6" s="1887"/>
      <c r="D6" s="2580"/>
      <c r="E6" s="2581"/>
      <c r="F6" s="2582"/>
      <c r="G6" s="2583"/>
      <c r="H6" s="2583"/>
      <c r="I6" s="2580"/>
      <c r="J6" s="465" t="s">
        <v>1223</v>
      </c>
      <c r="K6" s="325">
        <v>43465</v>
      </c>
      <c r="L6" s="326"/>
      <c r="M6" s="414"/>
      <c r="N6" s="415"/>
      <c r="O6" s="415"/>
      <c r="P6" s="415"/>
      <c r="Q6" s="415"/>
      <c r="R6" s="415"/>
      <c r="S6" s="415"/>
      <c r="T6" s="415"/>
      <c r="U6" s="415"/>
      <c r="V6" s="415"/>
      <c r="W6" s="415"/>
      <c r="X6" s="416"/>
    </row>
    <row r="7" spans="1:24" s="9" customFormat="1" ht="22.5" customHeight="1" thickBot="1" x14ac:dyDescent="0.25">
      <c r="A7" s="10"/>
      <c r="B7" s="10"/>
      <c r="C7" s="1887"/>
      <c r="D7" s="2580"/>
      <c r="E7" s="2581"/>
      <c r="F7" s="2582"/>
      <c r="G7" s="2583"/>
      <c r="H7" s="2583"/>
      <c r="I7" s="2580"/>
      <c r="J7" s="465" t="s">
        <v>1224</v>
      </c>
      <c r="K7" s="325">
        <v>43465</v>
      </c>
      <c r="L7" s="326"/>
      <c r="M7" s="417"/>
      <c r="N7" s="418"/>
      <c r="O7" s="418"/>
      <c r="P7" s="418"/>
      <c r="Q7" s="418"/>
      <c r="R7" s="418"/>
      <c r="S7" s="418"/>
      <c r="T7" s="418"/>
      <c r="U7" s="418"/>
      <c r="V7" s="418"/>
      <c r="W7" s="418"/>
      <c r="X7" s="419"/>
    </row>
    <row r="8" spans="1:24" s="9" customFormat="1" ht="0.75" customHeight="1" thickBot="1" x14ac:dyDescent="0.25">
      <c r="A8" s="10"/>
      <c r="B8" s="10"/>
      <c r="C8" s="340"/>
      <c r="D8" s="324"/>
      <c r="E8" s="397"/>
      <c r="F8" s="398"/>
      <c r="G8" s="399"/>
      <c r="H8" s="399"/>
      <c r="I8" s="316"/>
      <c r="J8" s="335"/>
      <c r="K8" s="21"/>
      <c r="M8" s="10"/>
      <c r="N8" s="10"/>
      <c r="O8" s="10"/>
      <c r="P8" s="10"/>
      <c r="Q8" s="10"/>
      <c r="R8" s="10"/>
      <c r="S8" s="10"/>
      <c r="T8" s="10"/>
      <c r="U8" s="10"/>
      <c r="V8" s="10"/>
      <c r="W8" s="10"/>
    </row>
    <row r="9" spans="1:24" s="9" customFormat="1" ht="36" customHeight="1" thickBot="1" x14ac:dyDescent="0.25">
      <c r="A9" s="10"/>
      <c r="B9" s="10"/>
      <c r="C9" s="2531" t="s">
        <v>1411</v>
      </c>
      <c r="D9" s="2584" t="s">
        <v>50</v>
      </c>
      <c r="E9" s="2585" t="s">
        <v>1226</v>
      </c>
      <c r="F9" s="2586" t="s">
        <v>1228</v>
      </c>
      <c r="G9" s="2587" t="s">
        <v>1227</v>
      </c>
      <c r="H9" s="2587" t="s">
        <v>1220</v>
      </c>
      <c r="I9" s="2584" t="s">
        <v>48</v>
      </c>
      <c r="J9" s="499" t="s">
        <v>1230</v>
      </c>
      <c r="K9" s="325">
        <v>43131</v>
      </c>
      <c r="L9" s="1" t="s">
        <v>1229</v>
      </c>
      <c r="M9" s="420"/>
      <c r="N9" s="421"/>
      <c r="O9" s="421"/>
      <c r="P9" s="421"/>
      <c r="Q9" s="421"/>
      <c r="R9" s="421"/>
      <c r="S9" s="421"/>
      <c r="T9" s="421"/>
      <c r="U9" s="421"/>
      <c r="V9" s="421"/>
      <c r="W9" s="421"/>
      <c r="X9" s="422"/>
    </row>
    <row r="10" spans="1:24" s="9" customFormat="1" ht="40.5" customHeight="1" thickBot="1" x14ac:dyDescent="0.25">
      <c r="A10" s="10"/>
      <c r="B10" s="10"/>
      <c r="C10" s="2531"/>
      <c r="D10" s="2584"/>
      <c r="E10" s="2585"/>
      <c r="F10" s="2586"/>
      <c r="G10" s="2587"/>
      <c r="H10" s="2587"/>
      <c r="I10" s="2584"/>
      <c r="J10" s="499" t="s">
        <v>1231</v>
      </c>
      <c r="K10" s="325">
        <v>43131</v>
      </c>
      <c r="M10" s="423"/>
      <c r="N10" s="424"/>
      <c r="O10" s="424"/>
      <c r="P10" s="424"/>
      <c r="Q10" s="424"/>
      <c r="R10" s="424"/>
      <c r="S10" s="424"/>
      <c r="T10" s="424"/>
      <c r="U10" s="424"/>
      <c r="V10" s="424"/>
      <c r="W10" s="424"/>
      <c r="X10" s="425"/>
    </row>
    <row r="11" spans="1:24" s="9" customFormat="1" ht="31.5" customHeight="1" thickBot="1" x14ac:dyDescent="0.25">
      <c r="A11" s="10"/>
      <c r="B11" s="10"/>
      <c r="C11" s="2531"/>
      <c r="D11" s="2584"/>
      <c r="E11" s="2585"/>
      <c r="F11" s="2586"/>
      <c r="G11" s="2587"/>
      <c r="H11" s="2587"/>
      <c r="I11" s="2584"/>
      <c r="J11" s="499" t="s">
        <v>1232</v>
      </c>
      <c r="K11" s="325">
        <v>43281</v>
      </c>
      <c r="M11" s="423"/>
      <c r="N11" s="424"/>
      <c r="O11" s="424"/>
      <c r="P11" s="424"/>
      <c r="Q11" s="424"/>
      <c r="R11" s="424"/>
      <c r="S11" s="424"/>
      <c r="T11" s="424"/>
      <c r="U11" s="424"/>
      <c r="V11" s="424"/>
      <c r="W11" s="424"/>
      <c r="X11" s="425"/>
    </row>
    <row r="12" spans="1:24" ht="9" hidden="1" customHeight="1" x14ac:dyDescent="0.25">
      <c r="C12" s="2531"/>
      <c r="D12" s="2584"/>
      <c r="E12" s="2585"/>
      <c r="F12" s="2586"/>
      <c r="G12" s="2587"/>
      <c r="H12" s="2587"/>
      <c r="I12" s="2584"/>
      <c r="J12" s="347"/>
      <c r="K12" s="327"/>
      <c r="M12" s="423"/>
      <c r="N12" s="424"/>
      <c r="O12" s="424"/>
      <c r="P12" s="424"/>
      <c r="Q12" s="424"/>
      <c r="R12" s="424"/>
      <c r="S12" s="424"/>
      <c r="T12" s="424"/>
      <c r="U12" s="424"/>
      <c r="V12" s="424"/>
      <c r="W12" s="424"/>
      <c r="X12" s="425"/>
    </row>
    <row r="13" spans="1:24" ht="44.25" customHeight="1" thickBot="1" x14ac:dyDescent="0.3">
      <c r="C13" s="2531"/>
      <c r="D13" s="2584"/>
      <c r="E13" s="1862" t="s">
        <v>1234</v>
      </c>
      <c r="F13" s="2564">
        <v>1</v>
      </c>
      <c r="G13" s="2564" t="s">
        <v>1237</v>
      </c>
      <c r="H13" s="2565" t="s">
        <v>29</v>
      </c>
      <c r="I13" s="1887" t="s">
        <v>49</v>
      </c>
      <c r="J13" s="499" t="s">
        <v>1238</v>
      </c>
      <c r="K13" s="325">
        <v>43131</v>
      </c>
      <c r="M13" s="423"/>
      <c r="N13" s="424"/>
      <c r="O13" s="424"/>
      <c r="P13" s="424"/>
      <c r="Q13" s="424"/>
      <c r="R13" s="424"/>
      <c r="S13" s="424"/>
      <c r="T13" s="424"/>
      <c r="U13" s="424"/>
      <c r="V13" s="424"/>
      <c r="W13" s="424"/>
      <c r="X13" s="425"/>
    </row>
    <row r="14" spans="1:24" ht="44.25" customHeight="1" thickBot="1" x14ac:dyDescent="0.3">
      <c r="C14" s="2531"/>
      <c r="D14" s="2584"/>
      <c r="E14" s="1862"/>
      <c r="F14" s="2564"/>
      <c r="G14" s="2564"/>
      <c r="H14" s="2565"/>
      <c r="I14" s="1887"/>
      <c r="J14" s="499" t="s">
        <v>1239</v>
      </c>
      <c r="K14" s="325">
        <v>43281</v>
      </c>
      <c r="M14" s="423"/>
      <c r="N14" s="424"/>
      <c r="O14" s="424"/>
      <c r="P14" s="424"/>
      <c r="Q14" s="424"/>
      <c r="R14" s="424"/>
      <c r="S14" s="424"/>
      <c r="T14" s="424"/>
      <c r="U14" s="424"/>
      <c r="V14" s="424"/>
      <c r="W14" s="424"/>
      <c r="X14" s="425"/>
    </row>
    <row r="15" spans="1:24" ht="44.25" customHeight="1" thickBot="1" x14ac:dyDescent="0.3">
      <c r="C15" s="2531"/>
      <c r="D15" s="2584"/>
      <c r="E15" s="1887" t="s">
        <v>1235</v>
      </c>
      <c r="F15" s="2486">
        <v>1</v>
      </c>
      <c r="G15" s="2564" t="s">
        <v>1240</v>
      </c>
      <c r="H15" s="2564" t="s">
        <v>1241</v>
      </c>
      <c r="I15" s="1887" t="s">
        <v>49</v>
      </c>
      <c r="J15" s="499" t="s">
        <v>1243</v>
      </c>
      <c r="K15" s="325">
        <v>43159</v>
      </c>
      <c r="M15" s="423"/>
      <c r="N15" s="424"/>
      <c r="O15" s="424"/>
      <c r="P15" s="424"/>
      <c r="Q15" s="424"/>
      <c r="R15" s="424"/>
      <c r="S15" s="424"/>
      <c r="T15" s="424"/>
      <c r="U15" s="424"/>
      <c r="V15" s="424"/>
      <c r="W15" s="424"/>
      <c r="X15" s="425"/>
    </row>
    <row r="16" spans="1:24" ht="19.5" customHeight="1" thickBot="1" x14ac:dyDescent="0.3">
      <c r="C16" s="2531"/>
      <c r="D16" s="2584"/>
      <c r="E16" s="1887"/>
      <c r="F16" s="1887"/>
      <c r="G16" s="2564"/>
      <c r="H16" s="2564"/>
      <c r="I16" s="1887"/>
      <c r="J16" s="499" t="s">
        <v>1246</v>
      </c>
      <c r="K16" s="325" t="s">
        <v>1245</v>
      </c>
      <c r="M16" s="423"/>
      <c r="N16" s="424"/>
      <c r="O16" s="424"/>
      <c r="P16" s="424"/>
      <c r="Q16" s="424"/>
      <c r="R16" s="424"/>
      <c r="S16" s="424"/>
      <c r="T16" s="424"/>
      <c r="U16" s="424"/>
      <c r="V16" s="424"/>
      <c r="W16" s="424"/>
      <c r="X16" s="425"/>
    </row>
    <row r="17" spans="2:24" ht="23.25" customHeight="1" thickBot="1" x14ac:dyDescent="0.3">
      <c r="C17" s="2531"/>
      <c r="D17" s="2584"/>
      <c r="E17" s="1887"/>
      <c r="F17" s="1887"/>
      <c r="G17" s="2564"/>
      <c r="H17" s="2564"/>
      <c r="I17" s="1887"/>
      <c r="J17" s="499" t="s">
        <v>1242</v>
      </c>
      <c r="K17" s="325" t="s">
        <v>1244</v>
      </c>
      <c r="M17" s="423"/>
      <c r="N17" s="424"/>
      <c r="O17" s="424"/>
      <c r="P17" s="424"/>
      <c r="Q17" s="424"/>
      <c r="R17" s="424"/>
      <c r="S17" s="424"/>
      <c r="T17" s="424"/>
      <c r="U17" s="424"/>
      <c r="V17" s="424"/>
      <c r="W17" s="424"/>
      <c r="X17" s="425"/>
    </row>
    <row r="18" spans="2:24" ht="39.75" customHeight="1" thickBot="1" x14ac:dyDescent="0.3">
      <c r="C18" s="2531"/>
      <c r="D18" s="2584"/>
      <c r="E18" s="1862" t="s">
        <v>1236</v>
      </c>
      <c r="F18" s="2564">
        <v>1</v>
      </c>
      <c r="G18" s="2564" t="s">
        <v>1240</v>
      </c>
      <c r="H18" s="2564" t="s">
        <v>1241</v>
      </c>
      <c r="I18" s="1887" t="s">
        <v>49</v>
      </c>
      <c r="J18" s="499" t="s">
        <v>1247</v>
      </c>
      <c r="K18" s="325">
        <v>43281</v>
      </c>
      <c r="M18" s="423"/>
      <c r="N18" s="424"/>
      <c r="O18" s="424"/>
      <c r="P18" s="424"/>
      <c r="Q18" s="424"/>
      <c r="R18" s="424"/>
      <c r="S18" s="424"/>
      <c r="T18" s="424"/>
      <c r="U18" s="424"/>
      <c r="V18" s="424"/>
      <c r="W18" s="424"/>
      <c r="X18" s="425"/>
    </row>
    <row r="19" spans="2:24" ht="30.75" customHeight="1" thickBot="1" x14ac:dyDescent="0.3">
      <c r="C19" s="2531"/>
      <c r="D19" s="2584"/>
      <c r="E19" s="1862"/>
      <c r="F19" s="2564"/>
      <c r="G19" s="2564"/>
      <c r="H19" s="2564"/>
      <c r="I19" s="1887"/>
      <c r="J19" s="499" t="s">
        <v>1248</v>
      </c>
      <c r="K19" s="325" t="s">
        <v>1249</v>
      </c>
      <c r="M19" s="423"/>
      <c r="N19" s="424"/>
      <c r="O19" s="424"/>
      <c r="P19" s="424"/>
      <c r="Q19" s="424"/>
      <c r="R19" s="424"/>
      <c r="S19" s="424"/>
      <c r="T19" s="424"/>
      <c r="U19" s="424"/>
      <c r="V19" s="424"/>
      <c r="W19" s="424"/>
      <c r="X19" s="425"/>
    </row>
    <row r="20" spans="2:24" ht="24.75" customHeight="1" thickBot="1" x14ac:dyDescent="0.3">
      <c r="C20" s="2531"/>
      <c r="D20" s="2584"/>
      <c r="E20" s="1862"/>
      <c r="F20" s="2564"/>
      <c r="G20" s="2564"/>
      <c r="H20" s="2564"/>
      <c r="I20" s="1887"/>
      <c r="J20" s="499" t="s">
        <v>1242</v>
      </c>
      <c r="K20" s="325" t="s">
        <v>1244</v>
      </c>
      <c r="M20" s="426"/>
      <c r="N20" s="427"/>
      <c r="O20" s="427"/>
      <c r="P20" s="427"/>
      <c r="Q20" s="427"/>
      <c r="R20" s="427"/>
      <c r="S20" s="427"/>
      <c r="T20" s="427"/>
      <c r="U20" s="427"/>
      <c r="V20" s="427"/>
      <c r="W20" s="427"/>
      <c r="X20" s="428"/>
    </row>
    <row r="21" spans="2:24" ht="30.75" customHeight="1" thickBot="1" x14ac:dyDescent="0.3">
      <c r="B21" s="362" t="s">
        <v>81</v>
      </c>
      <c r="C21" s="1887" t="s">
        <v>1304</v>
      </c>
      <c r="D21" s="2529" t="s">
        <v>82</v>
      </c>
      <c r="E21" s="2529" t="s">
        <v>78</v>
      </c>
      <c r="F21" s="2529"/>
      <c r="G21" s="2529" t="s">
        <v>79</v>
      </c>
      <c r="H21" s="2529" t="s">
        <v>80</v>
      </c>
      <c r="I21" s="2529" t="s">
        <v>5</v>
      </c>
      <c r="J21" s="2557" t="s">
        <v>1289</v>
      </c>
      <c r="K21" s="310"/>
      <c r="L21" s="2559" t="s">
        <v>84</v>
      </c>
      <c r="M21" s="429"/>
      <c r="N21" s="430"/>
      <c r="O21" s="430"/>
      <c r="P21" s="430"/>
      <c r="Q21" s="430"/>
      <c r="R21" s="430"/>
      <c r="S21" s="430"/>
      <c r="T21" s="430"/>
      <c r="U21" s="430"/>
      <c r="V21" s="430"/>
      <c r="W21" s="430"/>
      <c r="X21" s="431"/>
    </row>
    <row r="22" spans="2:24" ht="60" customHeight="1" thickBot="1" x14ac:dyDescent="0.3">
      <c r="C22" s="1887"/>
      <c r="D22" s="2529"/>
      <c r="E22" s="2529"/>
      <c r="F22" s="2529"/>
      <c r="G22" s="2529"/>
      <c r="H22" s="2529"/>
      <c r="I22" s="2529"/>
      <c r="J22" s="2558"/>
      <c r="K22" s="311"/>
      <c r="L22" s="2560"/>
      <c r="M22" s="432"/>
      <c r="N22" s="433"/>
      <c r="O22" s="433"/>
      <c r="P22" s="433"/>
      <c r="Q22" s="433"/>
      <c r="R22" s="433"/>
      <c r="S22" s="433"/>
      <c r="T22" s="433"/>
      <c r="U22" s="433"/>
      <c r="V22" s="433"/>
      <c r="W22" s="433"/>
      <c r="X22" s="434"/>
    </row>
    <row r="23" spans="2:24" ht="66.75" customHeight="1" thickBot="1" x14ac:dyDescent="0.3">
      <c r="B23" s="18" t="s">
        <v>81</v>
      </c>
      <c r="C23" s="1887"/>
      <c r="D23" s="2529"/>
      <c r="E23" s="2561" t="s">
        <v>64</v>
      </c>
      <c r="F23" s="2562" t="s">
        <v>1233</v>
      </c>
      <c r="G23" s="2529" t="s">
        <v>86</v>
      </c>
      <c r="H23" s="2472" t="s">
        <v>87</v>
      </c>
      <c r="I23" s="2472" t="s">
        <v>5</v>
      </c>
      <c r="J23" s="2551" t="s">
        <v>83</v>
      </c>
      <c r="K23" s="312"/>
      <c r="L23" s="2554" t="s">
        <v>88</v>
      </c>
      <c r="M23" s="432"/>
      <c r="N23" s="433"/>
      <c r="O23" s="433"/>
      <c r="P23" s="433"/>
      <c r="Q23" s="433"/>
      <c r="R23" s="433"/>
      <c r="S23" s="433"/>
      <c r="T23" s="433"/>
      <c r="U23" s="433"/>
      <c r="V23" s="433"/>
      <c r="W23" s="433"/>
      <c r="X23" s="434"/>
    </row>
    <row r="24" spans="2:24" ht="28.5" customHeight="1" thickBot="1" x14ac:dyDescent="0.3">
      <c r="C24" s="1887"/>
      <c r="D24" s="2529"/>
      <c r="E24" s="2561"/>
      <c r="F24" s="2562"/>
      <c r="G24" s="2529"/>
      <c r="H24" s="2472"/>
      <c r="I24" s="2472"/>
      <c r="J24" s="2552"/>
      <c r="K24" s="313"/>
      <c r="L24" s="2555"/>
      <c r="M24" s="432"/>
      <c r="N24" s="433"/>
      <c r="O24" s="433"/>
      <c r="P24" s="433"/>
      <c r="Q24" s="433"/>
      <c r="R24" s="433"/>
      <c r="S24" s="433"/>
      <c r="T24" s="433"/>
      <c r="U24" s="433"/>
      <c r="V24" s="433"/>
      <c r="W24" s="433"/>
      <c r="X24" s="434"/>
    </row>
    <row r="25" spans="2:24" ht="19.5" hidden="1" customHeight="1" x14ac:dyDescent="0.25">
      <c r="C25" s="1887"/>
      <c r="D25" s="2529"/>
      <c r="E25" s="2561"/>
      <c r="F25" s="2562"/>
      <c r="G25" s="2529"/>
      <c r="H25" s="2472"/>
      <c r="I25" s="2472"/>
      <c r="J25" s="2552"/>
      <c r="K25" s="313"/>
      <c r="L25" s="2555"/>
      <c r="M25" s="435"/>
      <c r="N25" s="436"/>
      <c r="O25" s="436"/>
      <c r="P25" s="436"/>
      <c r="Q25" s="436"/>
      <c r="R25" s="436"/>
      <c r="S25" s="436"/>
      <c r="T25" s="436"/>
      <c r="U25" s="436"/>
      <c r="V25" s="436"/>
      <c r="W25" s="436"/>
      <c r="X25" s="437"/>
    </row>
    <row r="26" spans="2:24" ht="23.25" hidden="1" customHeight="1" x14ac:dyDescent="0.25">
      <c r="C26" s="1887"/>
      <c r="D26" s="2529"/>
      <c r="E26" s="2561"/>
      <c r="F26" s="2562"/>
      <c r="G26" s="2529"/>
      <c r="H26" s="2472"/>
      <c r="I26" s="2472"/>
      <c r="J26" s="2553"/>
      <c r="K26" s="314"/>
      <c r="L26" s="2556"/>
      <c r="M26" s="435"/>
      <c r="N26" s="436"/>
      <c r="O26" s="436"/>
      <c r="P26" s="436"/>
      <c r="Q26" s="436"/>
      <c r="R26" s="436"/>
      <c r="S26" s="436"/>
      <c r="T26" s="436"/>
      <c r="U26" s="436"/>
      <c r="V26" s="436"/>
      <c r="W26" s="436"/>
      <c r="X26" s="437"/>
    </row>
    <row r="27" spans="2:24" ht="31.5" customHeight="1" thickBot="1" x14ac:dyDescent="0.3">
      <c r="B27" s="18" t="s">
        <v>81</v>
      </c>
      <c r="C27" s="1887"/>
      <c r="D27" s="2529" t="s">
        <v>53</v>
      </c>
      <c r="E27" s="2529" t="s">
        <v>89</v>
      </c>
      <c r="F27" s="2536"/>
      <c r="G27" s="2529" t="s">
        <v>90</v>
      </c>
      <c r="H27" s="2529" t="s">
        <v>91</v>
      </c>
      <c r="I27" s="2529" t="s">
        <v>5</v>
      </c>
      <c r="J27" s="2551" t="s">
        <v>1289</v>
      </c>
      <c r="K27" s="312"/>
      <c r="L27" s="2554" t="s">
        <v>85</v>
      </c>
      <c r="M27" s="432"/>
      <c r="N27" s="433"/>
      <c r="O27" s="433"/>
      <c r="P27" s="433"/>
      <c r="Q27" s="433"/>
      <c r="R27" s="433"/>
      <c r="S27" s="433"/>
      <c r="T27" s="433"/>
      <c r="U27" s="433"/>
      <c r="V27" s="433"/>
      <c r="W27" s="433"/>
      <c r="X27" s="434"/>
    </row>
    <row r="28" spans="2:24" ht="31.5" customHeight="1" thickBot="1" x14ac:dyDescent="0.3">
      <c r="C28" s="1887"/>
      <c r="D28" s="2529"/>
      <c r="E28" s="2529"/>
      <c r="F28" s="2536"/>
      <c r="G28" s="2529"/>
      <c r="H28" s="2529"/>
      <c r="I28" s="2529"/>
      <c r="J28" s="2552"/>
      <c r="K28" s="313"/>
      <c r="L28" s="2555"/>
      <c r="M28" s="432"/>
      <c r="N28" s="433"/>
      <c r="O28" s="433"/>
      <c r="P28" s="433"/>
      <c r="Q28" s="433"/>
      <c r="R28" s="433"/>
      <c r="S28" s="433"/>
      <c r="T28" s="433"/>
      <c r="U28" s="433"/>
      <c r="V28" s="433"/>
      <c r="W28" s="433"/>
      <c r="X28" s="434"/>
    </row>
    <row r="29" spans="2:24" ht="31.5" customHeight="1" thickBot="1" x14ac:dyDescent="0.3">
      <c r="C29" s="1887"/>
      <c r="D29" s="2529"/>
      <c r="E29" s="2529"/>
      <c r="F29" s="2536"/>
      <c r="G29" s="2529"/>
      <c r="H29" s="2529"/>
      <c r="I29" s="2529"/>
      <c r="J29" s="2552"/>
      <c r="K29" s="313"/>
      <c r="L29" s="2555"/>
      <c r="M29" s="432"/>
      <c r="N29" s="433"/>
      <c r="O29" s="433"/>
      <c r="P29" s="433"/>
      <c r="Q29" s="433"/>
      <c r="R29" s="433"/>
      <c r="S29" s="433"/>
      <c r="T29" s="433"/>
      <c r="U29" s="433"/>
      <c r="V29" s="433"/>
      <c r="W29" s="433"/>
      <c r="X29" s="434"/>
    </row>
    <row r="30" spans="2:24" ht="1.5" customHeight="1" thickBot="1" x14ac:dyDescent="0.3">
      <c r="C30" s="1887"/>
      <c r="D30" s="2529"/>
      <c r="E30" s="2529"/>
      <c r="F30" s="2536"/>
      <c r="G30" s="2529"/>
      <c r="H30" s="2529"/>
      <c r="I30" s="2529"/>
      <c r="J30" s="2552"/>
      <c r="K30" s="313"/>
      <c r="L30" s="2555"/>
      <c r="M30" s="432"/>
      <c r="N30" s="433"/>
      <c r="O30" s="433"/>
      <c r="P30" s="433"/>
      <c r="Q30" s="433"/>
      <c r="R30" s="433"/>
      <c r="S30" s="433"/>
      <c r="T30" s="433"/>
      <c r="U30" s="433"/>
      <c r="V30" s="433"/>
      <c r="W30" s="433"/>
      <c r="X30" s="434"/>
    </row>
    <row r="31" spans="2:24" ht="18" customHeight="1" thickBot="1" x14ac:dyDescent="0.3">
      <c r="C31" s="1887"/>
      <c r="D31" s="2529"/>
      <c r="E31" s="2529"/>
      <c r="F31" s="2536"/>
      <c r="G31" s="2529"/>
      <c r="H31" s="2529"/>
      <c r="I31" s="2529"/>
      <c r="J31" s="2553"/>
      <c r="K31" s="314"/>
      <c r="L31" s="2556"/>
      <c r="M31" s="438"/>
      <c r="N31" s="439"/>
      <c r="O31" s="439"/>
      <c r="P31" s="439"/>
      <c r="Q31" s="439"/>
      <c r="R31" s="439"/>
      <c r="S31" s="439"/>
      <c r="T31" s="439"/>
      <c r="U31" s="439"/>
      <c r="V31" s="439"/>
      <c r="W31" s="439"/>
      <c r="X31" s="440"/>
    </row>
    <row r="32" spans="2:24" ht="60" customHeight="1" thickBot="1" x14ac:dyDescent="0.3">
      <c r="C32" s="2501" t="s">
        <v>1412</v>
      </c>
      <c r="D32" s="2550" t="s">
        <v>50</v>
      </c>
      <c r="E32" s="2550" t="s">
        <v>92</v>
      </c>
      <c r="F32" s="2550" t="s">
        <v>93</v>
      </c>
      <c r="G32" s="2550" t="s">
        <v>94</v>
      </c>
      <c r="H32" s="2550" t="s">
        <v>95</v>
      </c>
      <c r="I32" s="2550" t="s">
        <v>34</v>
      </c>
      <c r="J32" s="348" t="s">
        <v>96</v>
      </c>
      <c r="K32" s="26">
        <v>43159</v>
      </c>
      <c r="L32" s="2563" t="s">
        <v>99</v>
      </c>
      <c r="M32" s="496" t="s">
        <v>1397</v>
      </c>
      <c r="N32" s="441"/>
      <c r="O32" s="441"/>
      <c r="P32" s="441"/>
      <c r="Q32" s="441"/>
      <c r="R32" s="441"/>
      <c r="S32" s="441"/>
      <c r="T32" s="441"/>
      <c r="U32" s="441"/>
      <c r="V32" s="441"/>
      <c r="W32" s="441"/>
      <c r="X32" s="442"/>
    </row>
    <row r="33" spans="2:25" ht="48.75" customHeight="1" thickBot="1" x14ac:dyDescent="0.3">
      <c r="C33" s="2501"/>
      <c r="D33" s="2550"/>
      <c r="E33" s="2550"/>
      <c r="F33" s="2550"/>
      <c r="G33" s="2550"/>
      <c r="H33" s="2550"/>
      <c r="I33" s="2550"/>
      <c r="J33" s="495" t="s">
        <v>1408</v>
      </c>
      <c r="K33" s="26">
        <v>43174</v>
      </c>
      <c r="L33" s="2563"/>
      <c r="M33" s="496" t="s">
        <v>1397</v>
      </c>
      <c r="N33" s="496" t="s">
        <v>1397</v>
      </c>
      <c r="O33" s="496" t="s">
        <v>1397</v>
      </c>
      <c r="P33" s="496" t="s">
        <v>1397</v>
      </c>
      <c r="Q33" s="496" t="s">
        <v>1397</v>
      </c>
      <c r="R33" s="496" t="s">
        <v>1397</v>
      </c>
      <c r="S33" s="496" t="s">
        <v>1397</v>
      </c>
      <c r="T33" s="496" t="s">
        <v>1397</v>
      </c>
      <c r="U33" s="496" t="s">
        <v>1397</v>
      </c>
      <c r="V33" s="496" t="s">
        <v>1397</v>
      </c>
      <c r="W33" s="496" t="s">
        <v>1397</v>
      </c>
      <c r="X33" s="445"/>
    </row>
    <row r="34" spans="2:25" ht="51.75" customHeight="1" thickBot="1" x14ac:dyDescent="0.3">
      <c r="C34" s="2501"/>
      <c r="D34" s="2550"/>
      <c r="E34" s="2550"/>
      <c r="F34" s="2550"/>
      <c r="G34" s="2550"/>
      <c r="H34" s="2550"/>
      <c r="I34" s="2550"/>
      <c r="J34" s="348" t="s">
        <v>97</v>
      </c>
      <c r="K34" s="26">
        <v>43434</v>
      </c>
      <c r="L34" s="2563"/>
      <c r="M34" s="443"/>
      <c r="N34" s="444"/>
      <c r="O34" s="496" t="s">
        <v>1397</v>
      </c>
      <c r="P34" s="496" t="s">
        <v>1397</v>
      </c>
      <c r="Q34" s="496" t="s">
        <v>1397</v>
      </c>
      <c r="R34" s="496" t="s">
        <v>1397</v>
      </c>
      <c r="S34" s="496" t="s">
        <v>1397</v>
      </c>
      <c r="T34" s="496" t="s">
        <v>1397</v>
      </c>
      <c r="U34" s="496" t="s">
        <v>1397</v>
      </c>
      <c r="V34" s="496" t="s">
        <v>1397</v>
      </c>
      <c r="W34" s="496" t="s">
        <v>1397</v>
      </c>
      <c r="X34" s="445"/>
    </row>
    <row r="35" spans="2:25" ht="53.25" customHeight="1" thickBot="1" x14ac:dyDescent="0.3">
      <c r="C35" s="2501"/>
      <c r="D35" s="2550"/>
      <c r="E35" s="2550"/>
      <c r="F35" s="2550"/>
      <c r="G35" s="2550"/>
      <c r="H35" s="2550"/>
      <c r="I35" s="2550"/>
      <c r="J35" s="348" t="s">
        <v>98</v>
      </c>
      <c r="K35" s="26">
        <v>43465</v>
      </c>
      <c r="L35" s="2563"/>
      <c r="M35" s="446"/>
      <c r="N35" s="447"/>
      <c r="O35" s="447"/>
      <c r="P35" s="447"/>
      <c r="Q35" s="447"/>
      <c r="R35" s="447"/>
      <c r="S35" s="496" t="s">
        <v>1397</v>
      </c>
      <c r="T35" s="447"/>
      <c r="U35" s="447"/>
      <c r="V35" s="447"/>
      <c r="W35" s="447"/>
      <c r="X35" s="496" t="s">
        <v>1397</v>
      </c>
    </row>
    <row r="36" spans="2:25" ht="81.75" customHeight="1" thickBot="1" x14ac:dyDescent="0.3">
      <c r="B36" s="18" t="s">
        <v>108</v>
      </c>
      <c r="C36" s="1862" t="s">
        <v>1415</v>
      </c>
      <c r="D36" s="1862" t="s">
        <v>50</v>
      </c>
      <c r="E36" s="1906" t="s">
        <v>104</v>
      </c>
      <c r="F36" s="1904" t="s">
        <v>1394</v>
      </c>
      <c r="G36" s="1904" t="s">
        <v>105</v>
      </c>
      <c r="H36" s="1904" t="s">
        <v>30</v>
      </c>
      <c r="I36" s="1887" t="s">
        <v>31</v>
      </c>
      <c r="J36" s="500" t="s">
        <v>106</v>
      </c>
      <c r="K36" s="329">
        <v>43131</v>
      </c>
      <c r="L36" s="2546" t="s">
        <v>115</v>
      </c>
      <c r="M36" s="420"/>
      <c r="N36" s="421"/>
      <c r="O36" s="421"/>
      <c r="P36" s="421"/>
      <c r="Q36" s="421"/>
      <c r="R36" s="421"/>
      <c r="S36" s="421"/>
      <c r="T36" s="421"/>
      <c r="U36" s="421"/>
      <c r="V36" s="421"/>
      <c r="W36" s="421"/>
      <c r="X36" s="422"/>
      <c r="Y36" s="501"/>
    </row>
    <row r="37" spans="2:25" ht="60" customHeight="1" thickBot="1" x14ac:dyDescent="0.3">
      <c r="C37" s="1862"/>
      <c r="D37" s="1862"/>
      <c r="E37" s="1908"/>
      <c r="F37" s="1904"/>
      <c r="G37" s="1904"/>
      <c r="H37" s="1904"/>
      <c r="I37" s="1887"/>
      <c r="J37" s="500" t="s">
        <v>107</v>
      </c>
      <c r="K37" s="329">
        <v>43159</v>
      </c>
      <c r="L37" s="2546"/>
      <c r="M37" s="423"/>
      <c r="N37" s="424"/>
      <c r="O37" s="424"/>
      <c r="P37" s="424"/>
      <c r="Q37" s="424"/>
      <c r="R37" s="424"/>
      <c r="S37" s="424"/>
      <c r="T37" s="424"/>
      <c r="U37" s="424"/>
      <c r="V37" s="424"/>
      <c r="W37" s="424"/>
      <c r="X37" s="425"/>
      <c r="Y37" s="501"/>
    </row>
    <row r="38" spans="2:25" ht="52.5" customHeight="1" x14ac:dyDescent="0.25">
      <c r="C38" s="1862"/>
      <c r="D38" s="1862"/>
      <c r="E38" s="2547" t="s">
        <v>1393</v>
      </c>
      <c r="F38" s="2549" t="s">
        <v>1395</v>
      </c>
      <c r="G38" s="1904" t="s">
        <v>100</v>
      </c>
      <c r="H38" s="1904" t="s">
        <v>101</v>
      </c>
      <c r="I38" s="1887" t="s">
        <v>65</v>
      </c>
      <c r="J38" s="1887" t="s">
        <v>1396</v>
      </c>
      <c r="K38" s="329">
        <v>43434</v>
      </c>
      <c r="L38" s="2546" t="s">
        <v>114</v>
      </c>
      <c r="M38" s="2571" t="s">
        <v>1397</v>
      </c>
      <c r="N38" s="2571" t="s">
        <v>1397</v>
      </c>
      <c r="O38" s="2571" t="s">
        <v>1397</v>
      </c>
      <c r="P38" s="2571" t="s">
        <v>1397</v>
      </c>
      <c r="Q38" s="2571"/>
      <c r="R38" s="2571"/>
      <c r="S38" s="2571"/>
      <c r="T38" s="2571"/>
      <c r="U38" s="2571"/>
      <c r="V38" s="2571"/>
      <c r="W38" s="2571"/>
      <c r="X38" s="2571"/>
      <c r="Y38" s="501"/>
    </row>
    <row r="39" spans="2:25" ht="63.75" customHeight="1" thickBot="1" x14ac:dyDescent="0.3">
      <c r="C39" s="1862"/>
      <c r="D39" s="1862"/>
      <c r="E39" s="2548"/>
      <c r="F39" s="2549"/>
      <c r="G39" s="1904"/>
      <c r="H39" s="1904"/>
      <c r="I39" s="1887"/>
      <c r="J39" s="1887" t="s">
        <v>102</v>
      </c>
      <c r="K39" s="331" t="s">
        <v>103</v>
      </c>
      <c r="L39" s="2546"/>
      <c r="M39" s="2572"/>
      <c r="N39" s="2572"/>
      <c r="O39" s="2572"/>
      <c r="P39" s="2572"/>
      <c r="Q39" s="2572"/>
      <c r="R39" s="2572"/>
      <c r="S39" s="2572"/>
      <c r="T39" s="2572"/>
      <c r="U39" s="2572"/>
      <c r="V39" s="2572"/>
      <c r="W39" s="2572"/>
      <c r="X39" s="2572"/>
      <c r="Y39" s="501"/>
    </row>
    <row r="40" spans="2:25" ht="15.75" hidden="1" customHeight="1" x14ac:dyDescent="0.25">
      <c r="C40" s="1862"/>
      <c r="D40" s="1862"/>
      <c r="E40" s="502"/>
      <c r="F40" s="502"/>
      <c r="G40" s="503"/>
      <c r="H40" s="504"/>
      <c r="I40" s="505"/>
      <c r="J40" s="506"/>
      <c r="K40" s="507"/>
      <c r="L40" s="501"/>
      <c r="M40" s="423"/>
      <c r="N40" s="424"/>
      <c r="O40" s="424"/>
      <c r="P40" s="424"/>
      <c r="Q40" s="424"/>
      <c r="R40" s="424"/>
      <c r="S40" s="424"/>
      <c r="T40" s="424"/>
      <c r="U40" s="424"/>
      <c r="V40" s="424"/>
      <c r="W40" s="424"/>
      <c r="X40" s="425"/>
      <c r="Y40" s="501"/>
    </row>
    <row r="41" spans="2:25" ht="31.5" hidden="1" customHeight="1" x14ac:dyDescent="0.25">
      <c r="C41" s="1862"/>
      <c r="D41" s="1862"/>
      <c r="E41" s="502"/>
      <c r="F41" s="502"/>
      <c r="G41" s="503"/>
      <c r="H41" s="504"/>
      <c r="I41" s="505"/>
      <c r="J41" s="506"/>
      <c r="K41" s="507"/>
      <c r="L41" s="501"/>
      <c r="M41" s="423"/>
      <c r="N41" s="424"/>
      <c r="O41" s="424"/>
      <c r="P41" s="424"/>
      <c r="Q41" s="424"/>
      <c r="R41" s="424"/>
      <c r="S41" s="424"/>
      <c r="T41" s="424"/>
      <c r="U41" s="424"/>
      <c r="V41" s="424"/>
      <c r="W41" s="424"/>
      <c r="X41" s="425"/>
      <c r="Y41" s="501"/>
    </row>
    <row r="42" spans="2:25" ht="62.25" customHeight="1" thickBot="1" x14ac:dyDescent="0.3">
      <c r="C42" s="1862"/>
      <c r="D42" s="1862"/>
      <c r="E42" s="1906" t="s">
        <v>1398</v>
      </c>
      <c r="F42" s="1904" t="s">
        <v>1399</v>
      </c>
      <c r="G42" s="1904" t="s">
        <v>105</v>
      </c>
      <c r="H42" s="1904" t="s">
        <v>109</v>
      </c>
      <c r="I42" s="1887" t="s">
        <v>65</v>
      </c>
      <c r="J42" s="500" t="s">
        <v>110</v>
      </c>
      <c r="K42" s="329">
        <v>43131</v>
      </c>
      <c r="L42" s="2546" t="s">
        <v>113</v>
      </c>
      <c r="M42" s="508" t="s">
        <v>1397</v>
      </c>
      <c r="N42" s="508" t="s">
        <v>1397</v>
      </c>
      <c r="O42" s="509"/>
      <c r="P42" s="424"/>
      <c r="Q42" s="424"/>
      <c r="R42" s="424"/>
      <c r="S42" s="424"/>
      <c r="T42" s="424"/>
      <c r="U42" s="424"/>
      <c r="V42" s="424"/>
      <c r="W42" s="424"/>
      <c r="X42" s="425"/>
      <c r="Y42" s="1906" t="s">
        <v>1400</v>
      </c>
    </row>
    <row r="43" spans="2:25" ht="45.75" customHeight="1" thickBot="1" x14ac:dyDescent="0.3">
      <c r="C43" s="1862"/>
      <c r="D43" s="1862"/>
      <c r="E43" s="1907"/>
      <c r="F43" s="1904"/>
      <c r="G43" s="1904"/>
      <c r="H43" s="1904"/>
      <c r="I43" s="1887"/>
      <c r="J43" s="500" t="s">
        <v>111</v>
      </c>
      <c r="K43" s="329">
        <v>43159</v>
      </c>
      <c r="L43" s="2546"/>
      <c r="M43" s="508"/>
      <c r="N43" s="509"/>
      <c r="O43" s="509" t="s">
        <v>1397</v>
      </c>
      <c r="P43" s="509" t="s">
        <v>1397</v>
      </c>
      <c r="Q43" s="424"/>
      <c r="R43" s="424"/>
      <c r="S43" s="424"/>
      <c r="T43" s="424"/>
      <c r="U43" s="424"/>
      <c r="V43" s="424"/>
      <c r="W43" s="424"/>
      <c r="X43" s="425"/>
      <c r="Y43" s="1907"/>
    </row>
    <row r="44" spans="2:25" ht="40.5" customHeight="1" thickBot="1" x14ac:dyDescent="0.3">
      <c r="C44" s="1862"/>
      <c r="D44" s="1862"/>
      <c r="E44" s="1908"/>
      <c r="F44" s="1904"/>
      <c r="G44" s="1904"/>
      <c r="H44" s="1904"/>
      <c r="I44" s="1887"/>
      <c r="J44" s="500" t="s">
        <v>112</v>
      </c>
      <c r="K44" s="329">
        <v>43190</v>
      </c>
      <c r="L44" s="2546"/>
      <c r="M44" s="508"/>
      <c r="N44" s="509"/>
      <c r="O44" s="509"/>
      <c r="P44" s="509"/>
      <c r="Q44" s="509" t="s">
        <v>1397</v>
      </c>
      <c r="R44" s="424"/>
      <c r="S44" s="424"/>
      <c r="T44" s="424"/>
      <c r="U44" s="424"/>
      <c r="V44" s="424"/>
      <c r="W44" s="424"/>
      <c r="X44" s="425"/>
      <c r="Y44" s="1908"/>
    </row>
    <row r="45" spans="2:25" ht="64.5" customHeight="1" thickBot="1" x14ac:dyDescent="0.3">
      <c r="C45" s="1862"/>
      <c r="D45" s="1862"/>
      <c r="E45" s="2543" t="s">
        <v>116</v>
      </c>
      <c r="F45" s="1904" t="s">
        <v>1401</v>
      </c>
      <c r="G45" s="1904" t="s">
        <v>117</v>
      </c>
      <c r="H45" s="1904" t="s">
        <v>118</v>
      </c>
      <c r="I45" s="1862" t="s">
        <v>65</v>
      </c>
      <c r="J45" s="500" t="s">
        <v>1402</v>
      </c>
      <c r="K45" s="329">
        <v>43465</v>
      </c>
      <c r="L45" s="2546" t="s">
        <v>120</v>
      </c>
      <c r="M45" s="508"/>
      <c r="N45" s="509"/>
      <c r="O45" s="509"/>
      <c r="P45" s="509" t="s">
        <v>1397</v>
      </c>
      <c r="Q45" s="509" t="s">
        <v>1397</v>
      </c>
      <c r="R45" s="424"/>
      <c r="S45" s="424"/>
      <c r="T45" s="424"/>
      <c r="U45" s="424"/>
      <c r="V45" s="424"/>
      <c r="W45" s="424"/>
      <c r="X45" s="425"/>
      <c r="Y45" s="1904" t="s">
        <v>1404</v>
      </c>
    </row>
    <row r="46" spans="2:25" ht="64.5" customHeight="1" thickBot="1" x14ac:dyDescent="0.3">
      <c r="C46" s="1862"/>
      <c r="D46" s="1862"/>
      <c r="E46" s="2544"/>
      <c r="F46" s="1904"/>
      <c r="G46" s="1904"/>
      <c r="H46" s="1904"/>
      <c r="I46" s="1862"/>
      <c r="J46" s="500" t="s">
        <v>1403</v>
      </c>
      <c r="K46" s="329"/>
      <c r="L46" s="2546"/>
      <c r="M46" s="508"/>
      <c r="N46" s="508"/>
      <c r="O46" s="508"/>
      <c r="P46" s="508" t="s">
        <v>1397</v>
      </c>
      <c r="Q46" s="508" t="s">
        <v>1397</v>
      </c>
      <c r="R46" s="508" t="s">
        <v>1397</v>
      </c>
      <c r="S46" s="508" t="s">
        <v>1397</v>
      </c>
      <c r="T46" s="508" t="s">
        <v>1397</v>
      </c>
      <c r="U46" s="508" t="s">
        <v>1397</v>
      </c>
      <c r="V46" s="508" t="s">
        <v>1397</v>
      </c>
      <c r="W46" s="508" t="s">
        <v>1397</v>
      </c>
      <c r="X46" s="508" t="s">
        <v>1397</v>
      </c>
      <c r="Y46" s="1904"/>
    </row>
    <row r="47" spans="2:25" ht="79.5" customHeight="1" thickBot="1" x14ac:dyDescent="0.3">
      <c r="C47" s="1862"/>
      <c r="D47" s="1862"/>
      <c r="E47" s="2545"/>
      <c r="F47" s="1904"/>
      <c r="G47" s="1904"/>
      <c r="H47" s="1904"/>
      <c r="I47" s="1862"/>
      <c r="J47" s="500" t="s">
        <v>119</v>
      </c>
      <c r="K47" s="329">
        <v>43465</v>
      </c>
      <c r="L47" s="2546"/>
      <c r="M47" s="508"/>
      <c r="N47" s="508"/>
      <c r="O47" s="508"/>
      <c r="P47" s="508" t="s">
        <v>1397</v>
      </c>
      <c r="Q47" s="508" t="s">
        <v>1397</v>
      </c>
      <c r="R47" s="508" t="s">
        <v>1397</v>
      </c>
      <c r="S47" s="508" t="s">
        <v>1397</v>
      </c>
      <c r="T47" s="508" t="s">
        <v>1397</v>
      </c>
      <c r="U47" s="508" t="s">
        <v>1397</v>
      </c>
      <c r="V47" s="508" t="s">
        <v>1397</v>
      </c>
      <c r="W47" s="508" t="s">
        <v>1397</v>
      </c>
      <c r="X47" s="508" t="s">
        <v>1397</v>
      </c>
      <c r="Y47" s="1904"/>
    </row>
    <row r="48" spans="2:25" ht="60.75" customHeight="1" thickBot="1" x14ac:dyDescent="0.3">
      <c r="C48" s="1862"/>
      <c r="D48" s="1862"/>
      <c r="E48" s="2543" t="s">
        <v>121</v>
      </c>
      <c r="F48" s="1904" t="s">
        <v>122</v>
      </c>
      <c r="G48" s="1904" t="s">
        <v>123</v>
      </c>
      <c r="H48" s="1904" t="s">
        <v>123</v>
      </c>
      <c r="I48" s="1862" t="s">
        <v>65</v>
      </c>
      <c r="J48" s="500" t="s">
        <v>1405</v>
      </c>
      <c r="K48" s="329">
        <v>43190</v>
      </c>
      <c r="L48" s="2546" t="s">
        <v>124</v>
      </c>
      <c r="M48" s="508"/>
      <c r="N48" s="508"/>
      <c r="O48" s="508"/>
      <c r="P48" s="508" t="s">
        <v>1397</v>
      </c>
      <c r="Q48" s="508" t="s">
        <v>1397</v>
      </c>
      <c r="R48" s="508" t="s">
        <v>1397</v>
      </c>
      <c r="S48" s="508" t="s">
        <v>1397</v>
      </c>
      <c r="T48" s="508" t="s">
        <v>1397</v>
      </c>
      <c r="U48" s="508" t="s">
        <v>1397</v>
      </c>
      <c r="V48" s="508" t="s">
        <v>1397</v>
      </c>
      <c r="W48" s="508" t="s">
        <v>1397</v>
      </c>
      <c r="X48" s="508" t="s">
        <v>1397</v>
      </c>
      <c r="Y48" s="1904" t="s">
        <v>1407</v>
      </c>
    </row>
    <row r="49" spans="3:25" ht="59.25" customHeight="1" thickBot="1" x14ac:dyDescent="0.3">
      <c r="C49" s="1862"/>
      <c r="D49" s="1862"/>
      <c r="E49" s="2545"/>
      <c r="F49" s="1904"/>
      <c r="G49" s="1904"/>
      <c r="H49" s="1904"/>
      <c r="I49" s="1862"/>
      <c r="J49" s="500" t="s">
        <v>1406</v>
      </c>
      <c r="K49" s="329">
        <v>43465</v>
      </c>
      <c r="L49" s="2546"/>
      <c r="M49" s="426"/>
      <c r="N49" s="427"/>
      <c r="O49" s="510"/>
      <c r="P49" s="510" t="s">
        <v>1397</v>
      </c>
      <c r="Q49" s="510" t="s">
        <v>1397</v>
      </c>
      <c r="R49" s="510" t="s">
        <v>1397</v>
      </c>
      <c r="S49" s="510" t="s">
        <v>1397</v>
      </c>
      <c r="T49" s="510" t="s">
        <v>1397</v>
      </c>
      <c r="U49" s="510" t="s">
        <v>1397</v>
      </c>
      <c r="V49" s="510" t="s">
        <v>1397</v>
      </c>
      <c r="W49" s="510" t="s">
        <v>1397</v>
      </c>
      <c r="X49" s="510" t="s">
        <v>1397</v>
      </c>
      <c r="Y49" s="1904"/>
    </row>
    <row r="50" spans="3:25" ht="43.5" customHeight="1" thickBot="1" x14ac:dyDescent="0.3">
      <c r="C50" s="2501" t="s">
        <v>1339</v>
      </c>
      <c r="D50" s="2529" t="s">
        <v>50</v>
      </c>
      <c r="E50" s="2529" t="s">
        <v>1250</v>
      </c>
      <c r="F50" s="2536" t="s">
        <v>55</v>
      </c>
      <c r="G50" s="2536" t="s">
        <v>56</v>
      </c>
      <c r="H50" s="2536" t="s">
        <v>1251</v>
      </c>
      <c r="I50" s="2472" t="s">
        <v>20</v>
      </c>
      <c r="J50" s="351" t="s">
        <v>1252</v>
      </c>
      <c r="K50" s="342">
        <v>43465</v>
      </c>
      <c r="L50" s="511"/>
      <c r="M50" s="429"/>
      <c r="N50" s="430"/>
      <c r="O50" s="430"/>
      <c r="P50" s="430"/>
      <c r="Q50" s="430"/>
      <c r="R50" s="430"/>
      <c r="S50" s="430"/>
      <c r="T50" s="430"/>
      <c r="U50" s="430"/>
      <c r="V50" s="430"/>
      <c r="W50" s="430"/>
      <c r="X50" s="431"/>
    </row>
    <row r="51" spans="3:25" ht="43.5" customHeight="1" thickBot="1" x14ac:dyDescent="0.3">
      <c r="C51" s="2501"/>
      <c r="D51" s="2529"/>
      <c r="E51" s="2529"/>
      <c r="F51" s="2536"/>
      <c r="G51" s="2536"/>
      <c r="H51" s="2536"/>
      <c r="I51" s="2472"/>
      <c r="J51" s="351" t="s">
        <v>1253</v>
      </c>
      <c r="K51" s="342">
        <v>43465</v>
      </c>
      <c r="L51" s="511"/>
      <c r="M51" s="432"/>
      <c r="N51" s="433"/>
      <c r="O51" s="433"/>
      <c r="P51" s="433"/>
      <c r="Q51" s="433"/>
      <c r="R51" s="433"/>
      <c r="S51" s="433"/>
      <c r="T51" s="433"/>
      <c r="U51" s="433"/>
      <c r="V51" s="433"/>
      <c r="W51" s="433"/>
      <c r="X51" s="434"/>
    </row>
    <row r="52" spans="3:25" ht="38.25" customHeight="1" thickBot="1" x14ac:dyDescent="0.3">
      <c r="C52" s="2501"/>
      <c r="D52" s="2529"/>
      <c r="E52" s="2529"/>
      <c r="F52" s="2536"/>
      <c r="G52" s="2536"/>
      <c r="H52" s="2536"/>
      <c r="I52" s="2472"/>
      <c r="J52" s="351"/>
      <c r="K52" s="344"/>
      <c r="L52" s="511"/>
      <c r="M52" s="432"/>
      <c r="N52" s="433"/>
      <c r="O52" s="433"/>
      <c r="P52" s="433"/>
      <c r="Q52" s="433"/>
      <c r="R52" s="433"/>
      <c r="S52" s="433"/>
      <c r="T52" s="433"/>
      <c r="U52" s="433"/>
      <c r="V52" s="433"/>
      <c r="W52" s="433"/>
      <c r="X52" s="434"/>
    </row>
    <row r="53" spans="3:25" ht="90" customHeight="1" thickBot="1" x14ac:dyDescent="0.3">
      <c r="C53" s="2501"/>
      <c r="D53" s="2529" t="s">
        <v>50</v>
      </c>
      <c r="E53" s="2529" t="s">
        <v>1254</v>
      </c>
      <c r="F53" s="2536" t="s">
        <v>57</v>
      </c>
      <c r="G53" s="2536" t="s">
        <v>1255</v>
      </c>
      <c r="H53" s="2536" t="s">
        <v>58</v>
      </c>
      <c r="I53" s="2472" t="s">
        <v>20</v>
      </c>
      <c r="J53" s="351" t="s">
        <v>1256</v>
      </c>
      <c r="K53" s="342">
        <v>43465</v>
      </c>
      <c r="L53" s="511"/>
      <c r="M53" s="432"/>
      <c r="N53" s="433"/>
      <c r="O53" s="433"/>
      <c r="P53" s="433"/>
      <c r="Q53" s="433"/>
      <c r="R53" s="433"/>
      <c r="S53" s="433"/>
      <c r="T53" s="433"/>
      <c r="U53" s="433"/>
      <c r="V53" s="433"/>
      <c r="W53" s="433"/>
      <c r="X53" s="434"/>
    </row>
    <row r="54" spans="3:25" ht="46.5" customHeight="1" thickBot="1" x14ac:dyDescent="0.3">
      <c r="C54" s="2501"/>
      <c r="D54" s="2529"/>
      <c r="E54" s="2529"/>
      <c r="F54" s="2536"/>
      <c r="G54" s="2536"/>
      <c r="H54" s="2536"/>
      <c r="I54" s="2472"/>
      <c r="J54" s="351" t="s">
        <v>1257</v>
      </c>
      <c r="K54" s="342">
        <v>43465</v>
      </c>
      <c r="L54" s="511"/>
      <c r="M54" s="432"/>
      <c r="N54" s="433"/>
      <c r="O54" s="433"/>
      <c r="P54" s="433"/>
      <c r="Q54" s="433"/>
      <c r="R54" s="433"/>
      <c r="S54" s="433"/>
      <c r="T54" s="433"/>
      <c r="U54" s="433"/>
      <c r="V54" s="433"/>
      <c r="W54" s="433"/>
      <c r="X54" s="434"/>
    </row>
    <row r="55" spans="3:25" ht="45.75" customHeight="1" thickBot="1" x14ac:dyDescent="0.3">
      <c r="C55" s="2501"/>
      <c r="D55" s="2529" t="s">
        <v>50</v>
      </c>
      <c r="E55" s="2529" t="s">
        <v>59</v>
      </c>
      <c r="F55" s="2536" t="s">
        <v>1258</v>
      </c>
      <c r="G55" s="2536" t="s">
        <v>60</v>
      </c>
      <c r="H55" s="2536" t="s">
        <v>61</v>
      </c>
      <c r="I55" s="2472" t="s">
        <v>20</v>
      </c>
      <c r="J55" s="351" t="s">
        <v>1259</v>
      </c>
      <c r="K55" s="342">
        <v>43465</v>
      </c>
      <c r="L55" s="511"/>
      <c r="M55" s="432"/>
      <c r="N55" s="433"/>
      <c r="O55" s="433"/>
      <c r="P55" s="433"/>
      <c r="Q55" s="433"/>
      <c r="R55" s="433"/>
      <c r="S55" s="433"/>
      <c r="T55" s="433"/>
      <c r="U55" s="433"/>
      <c r="V55" s="433"/>
      <c r="W55" s="433"/>
      <c r="X55" s="434"/>
    </row>
    <row r="56" spans="3:25" ht="45.75" customHeight="1" thickBot="1" x14ac:dyDescent="0.3">
      <c r="C56" s="2501"/>
      <c r="D56" s="2529"/>
      <c r="E56" s="2529"/>
      <c r="F56" s="2536"/>
      <c r="G56" s="2536"/>
      <c r="H56" s="2536"/>
      <c r="I56" s="2472"/>
      <c r="J56" s="351" t="s">
        <v>1260</v>
      </c>
      <c r="K56" s="342">
        <v>43465</v>
      </c>
      <c r="L56" s="511"/>
      <c r="M56" s="432"/>
      <c r="N56" s="433"/>
      <c r="O56" s="433"/>
      <c r="P56" s="433"/>
      <c r="Q56" s="433"/>
      <c r="R56" s="433"/>
      <c r="S56" s="433"/>
      <c r="T56" s="433"/>
      <c r="U56" s="433"/>
      <c r="V56" s="433"/>
      <c r="W56" s="433"/>
      <c r="X56" s="434"/>
    </row>
    <row r="57" spans="3:25" ht="63.75" customHeight="1" thickBot="1" x14ac:dyDescent="0.3">
      <c r="C57" s="2501"/>
      <c r="D57" s="2529"/>
      <c r="E57" s="2529"/>
      <c r="F57" s="2536"/>
      <c r="G57" s="2536"/>
      <c r="H57" s="2536"/>
      <c r="I57" s="2472"/>
      <c r="J57" s="351" t="s">
        <v>1261</v>
      </c>
      <c r="K57" s="342">
        <v>43465</v>
      </c>
      <c r="L57" s="511"/>
      <c r="M57" s="432"/>
      <c r="N57" s="433"/>
      <c r="O57" s="433"/>
      <c r="P57" s="433"/>
      <c r="Q57" s="433"/>
      <c r="R57" s="433"/>
      <c r="S57" s="433"/>
      <c r="T57" s="433"/>
      <c r="U57" s="433"/>
      <c r="V57" s="433"/>
      <c r="W57" s="433"/>
      <c r="X57" s="434"/>
    </row>
    <row r="58" spans="3:25" ht="21" customHeight="1" thickBot="1" x14ac:dyDescent="0.3">
      <c r="C58" s="2501"/>
      <c r="D58" s="2529"/>
      <c r="E58" s="2529"/>
      <c r="F58" s="2536"/>
      <c r="G58" s="2536"/>
      <c r="H58" s="2536"/>
      <c r="I58" s="2472"/>
      <c r="J58" s="351"/>
      <c r="K58" s="342"/>
      <c r="L58" s="511"/>
      <c r="M58" s="438"/>
      <c r="N58" s="439"/>
      <c r="O58" s="439"/>
      <c r="P58" s="439"/>
      <c r="Q58" s="439"/>
      <c r="R58" s="439"/>
      <c r="S58" s="439"/>
      <c r="T58" s="439"/>
      <c r="U58" s="439"/>
      <c r="V58" s="439"/>
      <c r="W58" s="439"/>
      <c r="X58" s="440"/>
    </row>
    <row r="59" spans="3:25" ht="74.25" customHeight="1" thickBot="1" x14ac:dyDescent="0.3">
      <c r="C59" s="1887" t="s">
        <v>1302</v>
      </c>
      <c r="D59" s="1862" t="s">
        <v>53</v>
      </c>
      <c r="E59" s="1862" t="s">
        <v>125</v>
      </c>
      <c r="F59" s="2542" t="s">
        <v>126</v>
      </c>
      <c r="G59" s="2535" t="s">
        <v>127</v>
      </c>
      <c r="H59" s="2535" t="s">
        <v>127</v>
      </c>
      <c r="I59" s="1862" t="s">
        <v>35</v>
      </c>
      <c r="J59" s="349" t="s">
        <v>129</v>
      </c>
      <c r="K59" s="329">
        <v>43465</v>
      </c>
      <c r="L59" s="2576" t="s">
        <v>128</v>
      </c>
      <c r="M59" s="420"/>
      <c r="N59" s="421"/>
      <c r="O59" s="421"/>
      <c r="P59" s="421"/>
      <c r="Q59" s="421"/>
      <c r="R59" s="421"/>
      <c r="S59" s="421"/>
      <c r="T59" s="421"/>
      <c r="U59" s="421"/>
      <c r="V59" s="421"/>
      <c r="W59" s="421"/>
      <c r="X59" s="422"/>
    </row>
    <row r="60" spans="3:25" ht="57.75" customHeight="1" thickBot="1" x14ac:dyDescent="0.3">
      <c r="C60" s="1887"/>
      <c r="D60" s="1862"/>
      <c r="E60" s="1862"/>
      <c r="F60" s="2542"/>
      <c r="G60" s="2535"/>
      <c r="H60" s="2535"/>
      <c r="I60" s="1862"/>
      <c r="J60" s="349" t="s">
        <v>130</v>
      </c>
      <c r="K60" s="329">
        <v>43466</v>
      </c>
      <c r="L60" s="2577"/>
      <c r="M60" s="423"/>
      <c r="N60" s="424"/>
      <c r="O60" s="424"/>
      <c r="P60" s="424"/>
      <c r="Q60" s="424"/>
      <c r="R60" s="424"/>
      <c r="S60" s="424"/>
      <c r="T60" s="424"/>
      <c r="U60" s="424"/>
      <c r="V60" s="424"/>
      <c r="W60" s="424"/>
      <c r="X60" s="425"/>
    </row>
    <row r="61" spans="3:25" ht="59.25" customHeight="1" thickBot="1" x14ac:dyDescent="0.3">
      <c r="C61" s="1887"/>
      <c r="D61" s="1862"/>
      <c r="E61" s="1862"/>
      <c r="F61" s="2542"/>
      <c r="G61" s="2535"/>
      <c r="H61" s="2535"/>
      <c r="I61" s="1862"/>
      <c r="J61" s="349" t="s">
        <v>131</v>
      </c>
      <c r="K61" s="329">
        <v>43467</v>
      </c>
      <c r="L61" s="2578"/>
      <c r="M61" s="423"/>
      <c r="N61" s="424"/>
      <c r="O61" s="424"/>
      <c r="P61" s="424"/>
      <c r="Q61" s="424"/>
      <c r="R61" s="424"/>
      <c r="S61" s="424"/>
      <c r="T61" s="424"/>
      <c r="U61" s="424"/>
      <c r="V61" s="424"/>
      <c r="W61" s="424"/>
      <c r="X61" s="425"/>
    </row>
    <row r="62" spans="3:25" ht="74.25" customHeight="1" thickBot="1" x14ac:dyDescent="0.3">
      <c r="C62" s="1887"/>
      <c r="D62" s="1862"/>
      <c r="E62" s="1862" t="s">
        <v>132</v>
      </c>
      <c r="F62" s="2542" t="s">
        <v>133</v>
      </c>
      <c r="G62" s="2535" t="s">
        <v>134</v>
      </c>
      <c r="H62" s="2535" t="s">
        <v>135</v>
      </c>
      <c r="I62" s="1862" t="s">
        <v>35</v>
      </c>
      <c r="J62" s="349" t="s">
        <v>137</v>
      </c>
      <c r="K62" s="329">
        <v>43465</v>
      </c>
      <c r="L62" s="2576" t="s">
        <v>136</v>
      </c>
      <c r="M62" s="423"/>
      <c r="N62" s="424"/>
      <c r="O62" s="424"/>
      <c r="P62" s="424"/>
      <c r="Q62" s="424"/>
      <c r="R62" s="424"/>
      <c r="S62" s="424"/>
      <c r="T62" s="424"/>
      <c r="U62" s="424"/>
      <c r="V62" s="424"/>
      <c r="W62" s="424"/>
      <c r="X62" s="425"/>
    </row>
    <row r="63" spans="3:25" ht="52.5" customHeight="1" thickBot="1" x14ac:dyDescent="0.3">
      <c r="C63" s="1887"/>
      <c r="D63" s="1862"/>
      <c r="E63" s="1862"/>
      <c r="F63" s="2542"/>
      <c r="G63" s="2535"/>
      <c r="H63" s="2535"/>
      <c r="I63" s="1862"/>
      <c r="J63" s="349" t="s">
        <v>138</v>
      </c>
      <c r="K63" s="329">
        <v>43465</v>
      </c>
      <c r="L63" s="2577"/>
      <c r="M63" s="423"/>
      <c r="N63" s="424"/>
      <c r="O63" s="424"/>
      <c r="P63" s="424"/>
      <c r="Q63" s="424"/>
      <c r="R63" s="424"/>
      <c r="S63" s="424"/>
      <c r="T63" s="424"/>
      <c r="U63" s="424"/>
      <c r="V63" s="424"/>
      <c r="W63" s="424"/>
      <c r="X63" s="425"/>
    </row>
    <row r="64" spans="3:25" ht="59.25" hidden="1" customHeight="1" x14ac:dyDescent="0.25">
      <c r="C64" s="1887"/>
      <c r="D64" s="1862"/>
      <c r="E64" s="1862"/>
      <c r="F64" s="2542"/>
      <c r="G64" s="2535"/>
      <c r="H64" s="2535"/>
      <c r="I64" s="1862"/>
      <c r="J64" s="349" t="s">
        <v>139</v>
      </c>
      <c r="K64" s="329">
        <v>43465</v>
      </c>
      <c r="L64" s="2578"/>
      <c r="M64" s="423"/>
      <c r="N64" s="424"/>
      <c r="O64" s="424"/>
      <c r="P64" s="424"/>
      <c r="Q64" s="424"/>
      <c r="R64" s="424"/>
      <c r="S64" s="424"/>
      <c r="T64" s="424"/>
      <c r="U64" s="424"/>
      <c r="V64" s="424"/>
      <c r="W64" s="424"/>
      <c r="X64" s="425"/>
    </row>
    <row r="65" spans="1:25" ht="40.5" customHeight="1" thickBot="1" x14ac:dyDescent="0.3">
      <c r="C65" s="1887"/>
      <c r="D65" s="1862"/>
      <c r="E65" s="1862" t="s">
        <v>140</v>
      </c>
      <c r="F65" s="1862" t="s">
        <v>141</v>
      </c>
      <c r="G65" s="1862" t="s">
        <v>142</v>
      </c>
      <c r="H65" s="1862" t="s">
        <v>143</v>
      </c>
      <c r="I65" s="1862" t="s">
        <v>35</v>
      </c>
      <c r="J65" s="349" t="s">
        <v>145</v>
      </c>
      <c r="K65" s="330">
        <v>43465</v>
      </c>
      <c r="L65" s="2588" t="s">
        <v>144</v>
      </c>
      <c r="M65" s="423"/>
      <c r="N65" s="424"/>
      <c r="O65" s="424"/>
      <c r="P65" s="424"/>
      <c r="Q65" s="424"/>
      <c r="R65" s="424"/>
      <c r="S65" s="424"/>
      <c r="T65" s="424"/>
      <c r="U65" s="424"/>
      <c r="V65" s="424"/>
      <c r="W65" s="424"/>
      <c r="X65" s="425"/>
    </row>
    <row r="66" spans="1:25" ht="38.25" customHeight="1" thickBot="1" x14ac:dyDescent="0.3">
      <c r="C66" s="1887"/>
      <c r="D66" s="1862"/>
      <c r="E66" s="1862"/>
      <c r="F66" s="1862"/>
      <c r="G66" s="1862"/>
      <c r="H66" s="1862"/>
      <c r="I66" s="1862"/>
      <c r="J66" s="349" t="s">
        <v>146</v>
      </c>
      <c r="K66" s="330">
        <v>43465</v>
      </c>
      <c r="L66" s="2588"/>
      <c r="M66" s="423"/>
      <c r="N66" s="424"/>
      <c r="O66" s="424"/>
      <c r="P66" s="424"/>
      <c r="Q66" s="424"/>
      <c r="R66" s="424"/>
      <c r="S66" s="424"/>
      <c r="T66" s="424"/>
      <c r="U66" s="424"/>
      <c r="V66" s="424"/>
      <c r="W66" s="424"/>
      <c r="X66" s="425"/>
    </row>
    <row r="67" spans="1:25" ht="36" customHeight="1" thickBot="1" x14ac:dyDescent="0.3">
      <c r="C67" s="1887"/>
      <c r="D67" s="1862"/>
      <c r="E67" s="1862"/>
      <c r="F67" s="1862"/>
      <c r="G67" s="1862"/>
      <c r="H67" s="1862"/>
      <c r="I67" s="1862"/>
      <c r="J67" s="349" t="s">
        <v>147</v>
      </c>
      <c r="K67" s="330">
        <v>43465</v>
      </c>
      <c r="L67" s="2588"/>
      <c r="M67" s="423"/>
      <c r="N67" s="424"/>
      <c r="O67" s="424"/>
      <c r="P67" s="424"/>
      <c r="Q67" s="424"/>
      <c r="R67" s="424"/>
      <c r="S67" s="424"/>
      <c r="T67" s="424"/>
      <c r="U67" s="424"/>
      <c r="V67" s="424"/>
      <c r="W67" s="424"/>
      <c r="X67" s="425"/>
    </row>
    <row r="68" spans="1:25" ht="24.75" customHeight="1" thickBot="1" x14ac:dyDescent="0.3">
      <c r="C68" s="1887"/>
      <c r="D68" s="1862"/>
      <c r="E68" s="1862"/>
      <c r="F68" s="1862"/>
      <c r="G68" s="1862"/>
      <c r="H68" s="1862"/>
      <c r="I68" s="1862"/>
      <c r="J68" s="349" t="s">
        <v>148</v>
      </c>
      <c r="K68" s="330">
        <v>43465</v>
      </c>
      <c r="L68" s="2588"/>
      <c r="M68" s="426"/>
      <c r="N68" s="427"/>
      <c r="O68" s="427"/>
      <c r="P68" s="427"/>
      <c r="Q68" s="427"/>
      <c r="R68" s="427"/>
      <c r="S68" s="427"/>
      <c r="T68" s="427"/>
      <c r="U68" s="427"/>
      <c r="V68" s="427"/>
      <c r="W68" s="427"/>
      <c r="X68" s="428"/>
    </row>
    <row r="69" spans="1:25" ht="59.25" hidden="1" customHeight="1" x14ac:dyDescent="0.25">
      <c r="C69" s="1887"/>
      <c r="D69" s="1862"/>
      <c r="E69" s="1862"/>
      <c r="F69" s="1862"/>
      <c r="G69" s="1862"/>
      <c r="H69" s="1862"/>
      <c r="I69" s="1862"/>
      <c r="J69" s="349" t="s">
        <v>149</v>
      </c>
      <c r="K69" s="330">
        <v>43465</v>
      </c>
      <c r="L69" s="2588"/>
      <c r="M69" s="402"/>
      <c r="N69" s="403"/>
      <c r="O69" s="403"/>
      <c r="P69" s="403"/>
      <c r="Q69" s="403"/>
      <c r="R69" s="403"/>
      <c r="S69" s="403"/>
      <c r="T69" s="403"/>
      <c r="U69" s="403"/>
      <c r="V69" s="403"/>
      <c r="W69" s="403"/>
      <c r="X69" s="404"/>
    </row>
    <row r="70" spans="1:25" ht="59.25" hidden="1" customHeight="1" x14ac:dyDescent="0.25">
      <c r="C70" s="1887"/>
      <c r="D70" s="1862"/>
      <c r="E70" s="1862"/>
      <c r="F70" s="1862"/>
      <c r="G70" s="1862"/>
      <c r="H70" s="1862"/>
      <c r="I70" s="1862"/>
      <c r="J70" s="349" t="s">
        <v>150</v>
      </c>
      <c r="K70" s="330">
        <v>43465</v>
      </c>
      <c r="L70" s="2588"/>
      <c r="M70" s="405"/>
      <c r="N70" s="406"/>
      <c r="O70" s="406"/>
      <c r="P70" s="406"/>
      <c r="Q70" s="406"/>
      <c r="R70" s="406"/>
      <c r="S70" s="406"/>
      <c r="T70" s="406"/>
      <c r="U70" s="406"/>
      <c r="V70" s="406"/>
      <c r="W70" s="406"/>
      <c r="X70" s="407"/>
    </row>
    <row r="71" spans="1:25" s="9" customFormat="1" ht="30.75" customHeight="1" thickBot="1" x14ac:dyDescent="0.25">
      <c r="A71" s="10"/>
      <c r="B71" s="10" t="s">
        <v>81</v>
      </c>
      <c r="C71" s="2531" t="s">
        <v>1302</v>
      </c>
      <c r="D71" s="1865" t="s">
        <v>72</v>
      </c>
      <c r="E71" s="1898" t="s">
        <v>73</v>
      </c>
      <c r="F71" s="1899">
        <v>0.8</v>
      </c>
      <c r="G71" s="1898" t="s">
        <v>75</v>
      </c>
      <c r="H71" s="1898" t="s">
        <v>74</v>
      </c>
      <c r="I71" s="1865" t="s">
        <v>27</v>
      </c>
      <c r="J71" s="350" t="s">
        <v>1262</v>
      </c>
      <c r="K71" s="329">
        <v>43465</v>
      </c>
      <c r="M71" s="451"/>
      <c r="N71" s="452"/>
      <c r="O71" s="452"/>
      <c r="P71" s="452"/>
      <c r="Q71" s="452"/>
      <c r="R71" s="452"/>
      <c r="S71" s="452"/>
      <c r="T71" s="452"/>
      <c r="U71" s="452"/>
      <c r="V71" s="452"/>
      <c r="W71" s="452"/>
      <c r="X71" s="453"/>
    </row>
    <row r="72" spans="1:25" s="9" customFormat="1" ht="44.25" customHeight="1" thickBot="1" x14ac:dyDescent="0.25">
      <c r="A72" s="10"/>
      <c r="B72" s="10"/>
      <c r="C72" s="2531"/>
      <c r="D72" s="1865"/>
      <c r="E72" s="1898"/>
      <c r="F72" s="1898"/>
      <c r="G72" s="1898"/>
      <c r="H72" s="1898"/>
      <c r="I72" s="1865"/>
      <c r="J72" s="350" t="s">
        <v>1263</v>
      </c>
      <c r="K72" s="329">
        <v>43465</v>
      </c>
      <c r="M72" s="454"/>
      <c r="N72" s="455"/>
      <c r="O72" s="455"/>
      <c r="P72" s="455"/>
      <c r="Q72" s="455"/>
      <c r="R72" s="455"/>
      <c r="S72" s="455"/>
      <c r="T72" s="455"/>
      <c r="U72" s="455"/>
      <c r="V72" s="455"/>
      <c r="W72" s="455"/>
      <c r="X72" s="456"/>
    </row>
    <row r="73" spans="1:25" s="9" customFormat="1" ht="38.25" customHeight="1" thickBot="1" x14ac:dyDescent="0.25">
      <c r="A73" s="10"/>
      <c r="B73" s="10"/>
      <c r="C73" s="2531"/>
      <c r="D73" s="1865"/>
      <c r="E73" s="1898"/>
      <c r="F73" s="1898"/>
      <c r="G73" s="1898"/>
      <c r="H73" s="1898"/>
      <c r="I73" s="1865"/>
      <c r="J73" s="350" t="s">
        <v>1264</v>
      </c>
      <c r="K73" s="329">
        <v>43465</v>
      </c>
      <c r="M73" s="454"/>
      <c r="N73" s="455"/>
      <c r="O73" s="455"/>
      <c r="P73" s="455"/>
      <c r="Q73" s="455"/>
      <c r="R73" s="455"/>
      <c r="S73" s="455"/>
      <c r="T73" s="455"/>
      <c r="U73" s="455"/>
      <c r="V73" s="455"/>
      <c r="W73" s="455"/>
      <c r="X73" s="456"/>
    </row>
    <row r="74" spans="1:25" s="9" customFormat="1" ht="79.5" customHeight="1" thickBot="1" x14ac:dyDescent="0.25">
      <c r="A74" s="10"/>
      <c r="B74" s="10"/>
      <c r="C74" s="1887" t="s">
        <v>1302</v>
      </c>
      <c r="D74" s="2472" t="s">
        <v>52</v>
      </c>
      <c r="E74" s="2529" t="s">
        <v>42</v>
      </c>
      <c r="F74" s="2529" t="s">
        <v>1372</v>
      </c>
      <c r="G74" s="2540" t="s">
        <v>1373</v>
      </c>
      <c r="H74" s="2529" t="s">
        <v>62</v>
      </c>
      <c r="I74" s="2537" t="s">
        <v>41</v>
      </c>
      <c r="J74" s="352" t="s">
        <v>1375</v>
      </c>
      <c r="K74" s="21"/>
      <c r="M74" s="432"/>
      <c r="N74" s="433"/>
      <c r="O74" s="433"/>
      <c r="P74" s="433"/>
      <c r="Q74" s="433"/>
      <c r="R74" s="433"/>
      <c r="S74" s="433"/>
      <c r="T74" s="433"/>
      <c r="U74" s="433"/>
      <c r="V74" s="433"/>
      <c r="W74" s="433"/>
      <c r="X74" s="434"/>
      <c r="Y74" s="457"/>
    </row>
    <row r="75" spans="1:25" s="9" customFormat="1" ht="56.25" customHeight="1" thickBot="1" x14ac:dyDescent="0.25">
      <c r="A75" s="10"/>
      <c r="B75" s="10"/>
      <c r="C75" s="1887"/>
      <c r="D75" s="2472"/>
      <c r="E75" s="2529"/>
      <c r="F75" s="2529"/>
      <c r="G75" s="2569"/>
      <c r="H75" s="2529"/>
      <c r="I75" s="2538"/>
      <c r="J75" s="352" t="s">
        <v>1376</v>
      </c>
      <c r="K75" s="21"/>
      <c r="M75" s="432"/>
      <c r="N75" s="433"/>
      <c r="O75" s="433"/>
      <c r="P75" s="433"/>
      <c r="Q75" s="433"/>
      <c r="R75" s="433"/>
      <c r="S75" s="433"/>
      <c r="T75" s="433"/>
      <c r="U75" s="433"/>
      <c r="V75" s="433"/>
      <c r="W75" s="433"/>
      <c r="X75" s="434"/>
      <c r="Y75" s="457"/>
    </row>
    <row r="76" spans="1:25" s="9" customFormat="1" ht="78" customHeight="1" thickBot="1" x14ac:dyDescent="0.25">
      <c r="A76" s="10"/>
      <c r="B76" s="10"/>
      <c r="C76" s="1887"/>
      <c r="D76" s="2472"/>
      <c r="E76" s="2529"/>
      <c r="F76" s="2529"/>
      <c r="G76" s="2569"/>
      <c r="H76" s="2529"/>
      <c r="I76" s="2538"/>
      <c r="J76" s="351" t="s">
        <v>1377</v>
      </c>
      <c r="K76" s="21"/>
      <c r="M76" s="432"/>
      <c r="N76" s="433"/>
      <c r="O76" s="433"/>
      <c r="P76" s="433"/>
      <c r="Q76" s="433"/>
      <c r="R76" s="433"/>
      <c r="S76" s="433"/>
      <c r="T76" s="433"/>
      <c r="U76" s="433"/>
      <c r="V76" s="433"/>
      <c r="W76" s="433"/>
      <c r="X76" s="434"/>
      <c r="Y76" s="457"/>
    </row>
    <row r="77" spans="1:25" s="9" customFormat="1" ht="67.5" customHeight="1" thickBot="1" x14ac:dyDescent="0.25">
      <c r="A77" s="10"/>
      <c r="B77" s="10"/>
      <c r="C77" s="1887"/>
      <c r="D77" s="2472"/>
      <c r="E77" s="2529"/>
      <c r="F77" s="2529"/>
      <c r="G77" s="2569"/>
      <c r="H77" s="2529"/>
      <c r="I77" s="2538"/>
      <c r="J77" s="351" t="s">
        <v>1378</v>
      </c>
      <c r="K77" s="21"/>
      <c r="M77" s="432"/>
      <c r="N77" s="433"/>
      <c r="O77" s="433"/>
      <c r="P77" s="433"/>
      <c r="Q77" s="433"/>
      <c r="R77" s="433"/>
      <c r="S77" s="433"/>
      <c r="T77" s="433"/>
      <c r="U77" s="433"/>
      <c r="V77" s="433"/>
      <c r="W77" s="433"/>
      <c r="X77" s="434"/>
      <c r="Y77" s="457"/>
    </row>
    <row r="78" spans="1:25" s="9" customFormat="1" ht="37.5" customHeight="1" thickBot="1" x14ac:dyDescent="0.25">
      <c r="A78" s="10"/>
      <c r="B78" s="10"/>
      <c r="C78" s="1887"/>
      <c r="D78" s="2472"/>
      <c r="E78" s="2529"/>
      <c r="F78" s="2529"/>
      <c r="G78" s="2569"/>
      <c r="H78" s="2529"/>
      <c r="I78" s="2538"/>
      <c r="J78" s="352" t="s">
        <v>1379</v>
      </c>
      <c r="K78" s="21"/>
      <c r="M78" s="432"/>
      <c r="N78" s="433"/>
      <c r="O78" s="433"/>
      <c r="P78" s="433"/>
      <c r="Q78" s="433"/>
      <c r="R78" s="433"/>
      <c r="S78" s="433"/>
      <c r="T78" s="433"/>
      <c r="U78" s="433"/>
      <c r="V78" s="433"/>
      <c r="W78" s="433"/>
      <c r="X78" s="434"/>
      <c r="Y78" s="457"/>
    </row>
    <row r="79" spans="1:25" s="9" customFormat="1" ht="77.25" customHeight="1" thickBot="1" x14ac:dyDescent="0.25">
      <c r="A79" s="10"/>
      <c r="B79" s="10"/>
      <c r="C79" s="1887"/>
      <c r="D79" s="2472"/>
      <c r="E79" s="2529"/>
      <c r="F79" s="2529"/>
      <c r="G79" s="2541"/>
      <c r="H79" s="2529"/>
      <c r="I79" s="2538"/>
      <c r="J79" s="351" t="s">
        <v>1380</v>
      </c>
      <c r="K79" s="21"/>
      <c r="M79" s="432"/>
      <c r="N79" s="433"/>
      <c r="O79" s="433"/>
      <c r="P79" s="433"/>
      <c r="Q79" s="433"/>
      <c r="R79" s="433"/>
      <c r="S79" s="433"/>
      <c r="T79" s="433"/>
      <c r="U79" s="433"/>
      <c r="V79" s="433"/>
      <c r="W79" s="433"/>
      <c r="X79" s="434"/>
      <c r="Y79" s="457"/>
    </row>
    <row r="80" spans="1:25" s="9" customFormat="1" ht="53.25" customHeight="1" thickBot="1" x14ac:dyDescent="0.25">
      <c r="A80" s="10"/>
      <c r="B80" s="10"/>
      <c r="C80" s="1887"/>
      <c r="D80" s="2472" t="s">
        <v>52</v>
      </c>
      <c r="E80" s="2529" t="s">
        <v>40</v>
      </c>
      <c r="F80" s="2162" t="s">
        <v>1374</v>
      </c>
      <c r="G80" s="2540" t="s">
        <v>63</v>
      </c>
      <c r="H80" s="2529" t="s">
        <v>39</v>
      </c>
      <c r="I80" s="2538"/>
      <c r="J80" s="351" t="s">
        <v>1381</v>
      </c>
      <c r="K80" s="21"/>
      <c r="M80" s="432"/>
      <c r="N80" s="433"/>
      <c r="O80" s="433"/>
      <c r="P80" s="433"/>
      <c r="Q80" s="433"/>
      <c r="R80" s="433"/>
      <c r="S80" s="433"/>
      <c r="T80" s="433"/>
      <c r="U80" s="433"/>
      <c r="V80" s="433"/>
      <c r="W80" s="433"/>
      <c r="X80" s="434"/>
      <c r="Y80" s="457"/>
    </row>
    <row r="81" spans="1:25" s="9" customFormat="1" ht="52.5" customHeight="1" thickBot="1" x14ac:dyDescent="0.25">
      <c r="A81" s="10"/>
      <c r="B81" s="10"/>
      <c r="C81" s="1887"/>
      <c r="D81" s="2472"/>
      <c r="E81" s="2529"/>
      <c r="F81" s="2162"/>
      <c r="G81" s="2541"/>
      <c r="H81" s="2529"/>
      <c r="I81" s="2539"/>
      <c r="J81" s="351" t="s">
        <v>1382</v>
      </c>
      <c r="K81" s="21"/>
      <c r="M81" s="432"/>
      <c r="N81" s="433"/>
      <c r="O81" s="433"/>
      <c r="P81" s="433"/>
      <c r="Q81" s="433"/>
      <c r="R81" s="433"/>
      <c r="S81" s="433"/>
      <c r="T81" s="433"/>
      <c r="U81" s="433"/>
      <c r="V81" s="433"/>
      <c r="W81" s="433"/>
      <c r="X81" s="434"/>
      <c r="Y81" s="457"/>
    </row>
    <row r="82" spans="1:25" s="9" customFormat="1" ht="40.5" customHeight="1" thickBot="1" x14ac:dyDescent="0.25">
      <c r="A82" s="10"/>
      <c r="B82" s="10" t="s">
        <v>81</v>
      </c>
      <c r="C82" s="2531" t="s">
        <v>1302</v>
      </c>
      <c r="D82" s="2472" t="s">
        <v>68</v>
      </c>
      <c r="E82" s="2529" t="s">
        <v>151</v>
      </c>
      <c r="F82" s="2532" t="s">
        <v>152</v>
      </c>
      <c r="G82" s="2533" t="s">
        <v>158</v>
      </c>
      <c r="H82" s="2534" t="s">
        <v>153</v>
      </c>
      <c r="I82" s="2472" t="s">
        <v>328</v>
      </c>
      <c r="J82" s="353" t="s">
        <v>155</v>
      </c>
      <c r="K82" s="342">
        <v>43465</v>
      </c>
      <c r="L82" s="2537" t="s">
        <v>154</v>
      </c>
      <c r="M82" s="432"/>
      <c r="N82" s="433"/>
      <c r="O82" s="433"/>
      <c r="P82" s="433"/>
      <c r="Q82" s="433"/>
      <c r="R82" s="433"/>
      <c r="S82" s="433"/>
      <c r="T82" s="433"/>
      <c r="U82" s="433"/>
      <c r="V82" s="433"/>
      <c r="W82" s="433"/>
      <c r="X82" s="434"/>
      <c r="Y82" s="457"/>
    </row>
    <row r="83" spans="1:25" s="9" customFormat="1" ht="50.25" customHeight="1" thickBot="1" x14ac:dyDescent="0.25">
      <c r="A83" s="10"/>
      <c r="B83" s="10"/>
      <c r="C83" s="2531"/>
      <c r="D83" s="2472"/>
      <c r="E83" s="2529"/>
      <c r="F83" s="2532"/>
      <c r="G83" s="2533"/>
      <c r="H83" s="2534"/>
      <c r="I83" s="2472"/>
      <c r="J83" s="353" t="s">
        <v>156</v>
      </c>
      <c r="K83" s="342">
        <v>43465</v>
      </c>
      <c r="L83" s="2538"/>
      <c r="M83" s="432"/>
      <c r="N83" s="433"/>
      <c r="O83" s="433"/>
      <c r="P83" s="433"/>
      <c r="Q83" s="433"/>
      <c r="R83" s="433"/>
      <c r="S83" s="433"/>
      <c r="T83" s="433"/>
      <c r="U83" s="433"/>
      <c r="V83" s="433"/>
      <c r="W83" s="433"/>
      <c r="X83" s="434"/>
      <c r="Y83" s="457"/>
    </row>
    <row r="84" spans="1:25" s="9" customFormat="1" ht="27.75" customHeight="1" thickBot="1" x14ac:dyDescent="0.25">
      <c r="A84" s="10"/>
      <c r="B84" s="10"/>
      <c r="C84" s="2531"/>
      <c r="D84" s="2472"/>
      <c r="E84" s="2529"/>
      <c r="F84" s="2532"/>
      <c r="G84" s="2533"/>
      <c r="H84" s="2534"/>
      <c r="I84" s="2472"/>
      <c r="J84" s="353" t="s">
        <v>157</v>
      </c>
      <c r="K84" s="342">
        <v>43465</v>
      </c>
      <c r="L84" s="2539"/>
      <c r="M84" s="432"/>
      <c r="N84" s="433"/>
      <c r="O84" s="433"/>
      <c r="P84" s="433"/>
      <c r="Q84" s="433"/>
      <c r="R84" s="433"/>
      <c r="S84" s="433"/>
      <c r="T84" s="433"/>
      <c r="U84" s="433"/>
      <c r="V84" s="433"/>
      <c r="W84" s="433"/>
      <c r="X84" s="434"/>
      <c r="Y84" s="457"/>
    </row>
    <row r="85" spans="1:25" s="9" customFormat="1" ht="34.5" customHeight="1" thickBot="1" x14ac:dyDescent="0.25">
      <c r="A85" s="10"/>
      <c r="B85" s="10"/>
      <c r="C85" s="2531"/>
      <c r="D85" s="2472" t="s">
        <v>68</v>
      </c>
      <c r="E85" s="2529" t="s">
        <v>151</v>
      </c>
      <c r="F85" s="2532"/>
      <c r="G85" s="2533" t="s">
        <v>159</v>
      </c>
      <c r="H85" s="2534" t="s">
        <v>153</v>
      </c>
      <c r="I85" s="2472"/>
      <c r="J85" s="2589" t="s">
        <v>1265</v>
      </c>
      <c r="K85" s="342">
        <v>43465</v>
      </c>
      <c r="L85" s="2537" t="s">
        <v>154</v>
      </c>
      <c r="M85" s="432"/>
      <c r="N85" s="433"/>
      <c r="O85" s="433"/>
      <c r="P85" s="433"/>
      <c r="Q85" s="433"/>
      <c r="R85" s="433"/>
      <c r="S85" s="433"/>
      <c r="T85" s="433"/>
      <c r="U85" s="433"/>
      <c r="V85" s="433"/>
      <c r="W85" s="433"/>
      <c r="X85" s="434"/>
      <c r="Y85" s="457"/>
    </row>
    <row r="86" spans="1:25" s="9" customFormat="1" ht="39.75" customHeight="1" thickBot="1" x14ac:dyDescent="0.25">
      <c r="A86" s="10"/>
      <c r="B86" s="10"/>
      <c r="C86" s="2531"/>
      <c r="D86" s="2472"/>
      <c r="E86" s="2529"/>
      <c r="F86" s="2532"/>
      <c r="G86" s="2533"/>
      <c r="H86" s="2534"/>
      <c r="I86" s="2472"/>
      <c r="J86" s="2590"/>
      <c r="K86" s="342">
        <v>43465</v>
      </c>
      <c r="L86" s="2538"/>
      <c r="M86" s="432"/>
      <c r="N86" s="433"/>
      <c r="O86" s="433"/>
      <c r="P86" s="433"/>
      <c r="Q86" s="433"/>
      <c r="R86" s="433"/>
      <c r="S86" s="433"/>
      <c r="T86" s="433"/>
      <c r="U86" s="433"/>
      <c r="V86" s="433"/>
      <c r="W86" s="433"/>
      <c r="X86" s="434"/>
      <c r="Y86" s="457"/>
    </row>
    <row r="87" spans="1:25" s="9" customFormat="1" ht="68.25" customHeight="1" thickBot="1" x14ac:dyDescent="0.25">
      <c r="A87" s="10"/>
      <c r="B87" s="10"/>
      <c r="C87" s="2531"/>
      <c r="D87" s="2472"/>
      <c r="E87" s="2529"/>
      <c r="F87" s="2532"/>
      <c r="G87" s="2533"/>
      <c r="H87" s="2534"/>
      <c r="I87" s="2472"/>
      <c r="J87" s="354" t="s">
        <v>160</v>
      </c>
      <c r="K87" s="342">
        <v>43465</v>
      </c>
      <c r="L87" s="2539"/>
      <c r="M87" s="432"/>
      <c r="N87" s="433"/>
      <c r="O87" s="433"/>
      <c r="P87" s="433"/>
      <c r="Q87" s="433"/>
      <c r="R87" s="433"/>
      <c r="S87" s="433"/>
      <c r="T87" s="433"/>
      <c r="U87" s="433"/>
      <c r="V87" s="433"/>
      <c r="W87" s="433"/>
      <c r="X87" s="434"/>
      <c r="Y87" s="457"/>
    </row>
    <row r="88" spans="1:25" s="9" customFormat="1" ht="34.5" customHeight="1" thickBot="1" x14ac:dyDescent="0.25">
      <c r="A88" s="10"/>
      <c r="B88" s="10"/>
      <c r="C88" s="1887" t="s">
        <v>1302</v>
      </c>
      <c r="D88" s="2472" t="s">
        <v>52</v>
      </c>
      <c r="E88" s="2529" t="s">
        <v>1269</v>
      </c>
      <c r="F88" s="2529"/>
      <c r="G88" s="2530" t="s">
        <v>161</v>
      </c>
      <c r="H88" s="2529" t="s">
        <v>162</v>
      </c>
      <c r="I88" s="2472" t="s">
        <v>28</v>
      </c>
      <c r="J88" s="353" t="s">
        <v>164</v>
      </c>
      <c r="K88" s="27">
        <v>43190</v>
      </c>
      <c r="L88" s="28" t="s">
        <v>163</v>
      </c>
      <c r="M88" s="432"/>
      <c r="N88" s="433"/>
      <c r="O88" s="433"/>
      <c r="P88" s="433"/>
      <c r="Q88" s="433"/>
      <c r="R88" s="433"/>
      <c r="S88" s="433"/>
      <c r="T88" s="433"/>
      <c r="U88" s="433"/>
      <c r="V88" s="433"/>
      <c r="W88" s="433"/>
      <c r="X88" s="434"/>
      <c r="Y88" s="457"/>
    </row>
    <row r="89" spans="1:25" s="9" customFormat="1" ht="34.5" customHeight="1" thickBot="1" x14ac:dyDescent="0.25">
      <c r="A89" s="10"/>
      <c r="B89" s="10"/>
      <c r="C89" s="1887"/>
      <c r="D89" s="2472"/>
      <c r="E89" s="2529"/>
      <c r="F89" s="2529"/>
      <c r="G89" s="2530"/>
      <c r="H89" s="2529"/>
      <c r="I89" s="2472"/>
      <c r="J89" s="353" t="s">
        <v>165</v>
      </c>
      <c r="K89" s="27">
        <v>43281</v>
      </c>
      <c r="L89" s="28"/>
      <c r="M89" s="432"/>
      <c r="N89" s="433"/>
      <c r="O89" s="433"/>
      <c r="P89" s="433"/>
      <c r="Q89" s="433"/>
      <c r="R89" s="433"/>
      <c r="S89" s="433"/>
      <c r="T89" s="433"/>
      <c r="U89" s="433"/>
      <c r="V89" s="433"/>
      <c r="W89" s="433"/>
      <c r="X89" s="434"/>
      <c r="Y89" s="457"/>
    </row>
    <row r="90" spans="1:25" s="9" customFormat="1" ht="39" customHeight="1" thickBot="1" x14ac:dyDescent="0.25">
      <c r="A90" s="10"/>
      <c r="B90" s="10"/>
      <c r="C90" s="1887"/>
      <c r="D90" s="2472" t="s">
        <v>52</v>
      </c>
      <c r="E90" s="2529" t="s">
        <v>1270</v>
      </c>
      <c r="F90" s="2529" t="s">
        <v>166</v>
      </c>
      <c r="G90" s="2161" t="s">
        <v>167</v>
      </c>
      <c r="H90" s="2161" t="s">
        <v>168</v>
      </c>
      <c r="I90" s="2472"/>
      <c r="J90" s="355" t="s">
        <v>170</v>
      </c>
      <c r="K90" s="27">
        <v>43100</v>
      </c>
      <c r="L90" s="2526" t="s">
        <v>169</v>
      </c>
      <c r="M90" s="432"/>
      <c r="N90" s="433"/>
      <c r="O90" s="433"/>
      <c r="P90" s="433"/>
      <c r="Q90" s="433"/>
      <c r="R90" s="433"/>
      <c r="S90" s="433"/>
      <c r="T90" s="433"/>
      <c r="U90" s="433"/>
      <c r="V90" s="433"/>
      <c r="W90" s="433"/>
      <c r="X90" s="434"/>
      <c r="Y90" s="457"/>
    </row>
    <row r="91" spans="1:25" s="9" customFormat="1" ht="34.5" customHeight="1" thickBot="1" x14ac:dyDescent="0.25">
      <c r="A91" s="10"/>
      <c r="B91" s="10"/>
      <c r="C91" s="1887"/>
      <c r="D91" s="2472"/>
      <c r="E91" s="2529"/>
      <c r="F91" s="2529"/>
      <c r="G91" s="2161"/>
      <c r="H91" s="2161"/>
      <c r="I91" s="2472"/>
      <c r="J91" s="355" t="s">
        <v>171</v>
      </c>
      <c r="K91" s="27">
        <v>43100</v>
      </c>
      <c r="L91" s="2527"/>
      <c r="M91" s="432"/>
      <c r="N91" s="433"/>
      <c r="O91" s="433"/>
      <c r="P91" s="433"/>
      <c r="Q91" s="433"/>
      <c r="R91" s="433"/>
      <c r="S91" s="433"/>
      <c r="T91" s="433"/>
      <c r="U91" s="433"/>
      <c r="V91" s="433"/>
      <c r="W91" s="433"/>
      <c r="X91" s="434"/>
      <c r="Y91" s="457"/>
    </row>
    <row r="92" spans="1:25" s="9" customFormat="1" ht="34.5" customHeight="1" thickBot="1" x14ac:dyDescent="0.25">
      <c r="A92" s="10"/>
      <c r="B92" s="10"/>
      <c r="C92" s="1887"/>
      <c r="D92" s="2472"/>
      <c r="E92" s="2529"/>
      <c r="F92" s="2529"/>
      <c r="G92" s="2161"/>
      <c r="H92" s="2161"/>
      <c r="I92" s="2472"/>
      <c r="J92" s="355" t="s">
        <v>172</v>
      </c>
      <c r="K92" s="315" t="s">
        <v>174</v>
      </c>
      <c r="L92" s="2527"/>
      <c r="M92" s="432"/>
      <c r="N92" s="433"/>
      <c r="O92" s="433"/>
      <c r="P92" s="433"/>
      <c r="Q92" s="433"/>
      <c r="R92" s="433"/>
      <c r="S92" s="433"/>
      <c r="T92" s="433"/>
      <c r="U92" s="433"/>
      <c r="V92" s="433"/>
      <c r="W92" s="433"/>
      <c r="X92" s="434"/>
      <c r="Y92" s="457"/>
    </row>
    <row r="93" spans="1:25" s="9" customFormat="1" ht="28.5" customHeight="1" thickBot="1" x14ac:dyDescent="0.25">
      <c r="A93" s="10"/>
      <c r="B93" s="10"/>
      <c r="C93" s="1887"/>
      <c r="D93" s="2472"/>
      <c r="E93" s="2529"/>
      <c r="F93" s="2529"/>
      <c r="G93" s="2161"/>
      <c r="H93" s="2161"/>
      <c r="I93" s="2472"/>
      <c r="J93" s="355" t="s">
        <v>173</v>
      </c>
      <c r="K93" s="315" t="s">
        <v>174</v>
      </c>
      <c r="L93" s="2528"/>
      <c r="M93" s="432"/>
      <c r="N93" s="433"/>
      <c r="O93" s="433"/>
      <c r="P93" s="433"/>
      <c r="Q93" s="433"/>
      <c r="R93" s="433"/>
      <c r="S93" s="433"/>
      <c r="T93" s="433"/>
      <c r="U93" s="433"/>
      <c r="V93" s="433"/>
      <c r="W93" s="433"/>
      <c r="X93" s="434"/>
      <c r="Y93" s="457"/>
    </row>
    <row r="94" spans="1:25" s="9" customFormat="1" ht="48" customHeight="1" thickBot="1" x14ac:dyDescent="0.25">
      <c r="A94" s="10"/>
      <c r="B94" s="10"/>
      <c r="C94" s="1887"/>
      <c r="D94" s="2472" t="s">
        <v>52</v>
      </c>
      <c r="E94" s="2472" t="s">
        <v>1271</v>
      </c>
      <c r="F94" s="2472" t="s">
        <v>176</v>
      </c>
      <c r="G94" s="2472" t="s">
        <v>177</v>
      </c>
      <c r="H94" s="2472" t="s">
        <v>178</v>
      </c>
      <c r="I94" s="2472"/>
      <c r="J94" s="355" t="s">
        <v>180</v>
      </c>
      <c r="K94" s="315" t="s">
        <v>182</v>
      </c>
      <c r="L94" s="2573" t="s">
        <v>179</v>
      </c>
      <c r="M94" s="432"/>
      <c r="N94" s="433"/>
      <c r="O94" s="433"/>
      <c r="P94" s="433"/>
      <c r="Q94" s="433"/>
      <c r="R94" s="433"/>
      <c r="S94" s="433"/>
      <c r="T94" s="433"/>
      <c r="U94" s="433"/>
      <c r="V94" s="433"/>
      <c r="W94" s="433"/>
      <c r="X94" s="434"/>
      <c r="Y94" s="457"/>
    </row>
    <row r="95" spans="1:25" s="9" customFormat="1" ht="35.25" customHeight="1" thickBot="1" x14ac:dyDescent="0.25">
      <c r="A95" s="10"/>
      <c r="B95" s="10"/>
      <c r="C95" s="1887"/>
      <c r="D95" s="2472"/>
      <c r="E95" s="2472"/>
      <c r="F95" s="2472"/>
      <c r="G95" s="2472"/>
      <c r="H95" s="2472"/>
      <c r="I95" s="2472"/>
      <c r="J95" s="355" t="s">
        <v>181</v>
      </c>
      <c r="K95" s="315" t="s">
        <v>182</v>
      </c>
      <c r="L95" s="2574"/>
      <c r="M95" s="432"/>
      <c r="N95" s="433"/>
      <c r="O95" s="433"/>
      <c r="P95" s="433"/>
      <c r="Q95" s="433"/>
      <c r="R95" s="433"/>
      <c r="S95" s="433"/>
      <c r="T95" s="433"/>
      <c r="U95" s="433"/>
      <c r="V95" s="433"/>
      <c r="W95" s="433"/>
      <c r="X95" s="434"/>
      <c r="Y95" s="457"/>
    </row>
    <row r="96" spans="1:25" s="9" customFormat="1" ht="36" customHeight="1" thickBot="1" x14ac:dyDescent="0.25">
      <c r="A96" s="10"/>
      <c r="B96" s="10"/>
      <c r="C96" s="1887"/>
      <c r="D96" s="2472"/>
      <c r="E96" s="2472"/>
      <c r="F96" s="2472"/>
      <c r="G96" s="2472"/>
      <c r="H96" s="2472"/>
      <c r="I96" s="2472"/>
      <c r="J96" s="355" t="s">
        <v>172</v>
      </c>
      <c r="K96" s="315" t="s">
        <v>183</v>
      </c>
      <c r="L96" s="2574"/>
      <c r="M96" s="432"/>
      <c r="N96" s="433"/>
      <c r="O96" s="433"/>
      <c r="P96" s="433"/>
      <c r="Q96" s="433"/>
      <c r="R96" s="433"/>
      <c r="S96" s="433"/>
      <c r="T96" s="433"/>
      <c r="U96" s="433"/>
      <c r="V96" s="433"/>
      <c r="W96" s="433"/>
      <c r="X96" s="434"/>
      <c r="Y96" s="457"/>
    </row>
    <row r="97" spans="1:25" s="9" customFormat="1" ht="28.5" customHeight="1" thickBot="1" x14ac:dyDescent="0.25">
      <c r="A97" s="10"/>
      <c r="B97" s="10"/>
      <c r="C97" s="1887"/>
      <c r="D97" s="2472"/>
      <c r="E97" s="2472"/>
      <c r="F97" s="2472"/>
      <c r="G97" s="2472"/>
      <c r="H97" s="2472"/>
      <c r="I97" s="2472"/>
      <c r="J97" s="355" t="s">
        <v>173</v>
      </c>
      <c r="K97" s="315" t="s">
        <v>182</v>
      </c>
      <c r="L97" s="2575"/>
      <c r="M97" s="432"/>
      <c r="N97" s="433"/>
      <c r="O97" s="433"/>
      <c r="P97" s="433"/>
      <c r="Q97" s="433"/>
      <c r="R97" s="433"/>
      <c r="S97" s="433"/>
      <c r="T97" s="433"/>
      <c r="U97" s="433"/>
      <c r="V97" s="433"/>
      <c r="W97" s="433"/>
      <c r="X97" s="434"/>
      <c r="Y97" s="457"/>
    </row>
    <row r="98" spans="1:25" s="9" customFormat="1" ht="44.25" customHeight="1" thickBot="1" x14ac:dyDescent="0.25">
      <c r="A98" s="10"/>
      <c r="B98" s="10"/>
      <c r="C98" s="1887"/>
      <c r="D98" s="2472" t="s">
        <v>52</v>
      </c>
      <c r="E98" s="2472" t="s">
        <v>1272</v>
      </c>
      <c r="F98" s="2472" t="s">
        <v>185</v>
      </c>
      <c r="G98" s="2472" t="s">
        <v>186</v>
      </c>
      <c r="H98" s="2472" t="s">
        <v>187</v>
      </c>
      <c r="I98" s="2472"/>
      <c r="J98" s="355" t="s">
        <v>180</v>
      </c>
      <c r="K98" s="27">
        <v>43100</v>
      </c>
      <c r="L98" s="2573" t="s">
        <v>179</v>
      </c>
      <c r="M98" s="432"/>
      <c r="N98" s="433"/>
      <c r="O98" s="433"/>
      <c r="P98" s="433"/>
      <c r="Q98" s="433"/>
      <c r="R98" s="433"/>
      <c r="S98" s="433"/>
      <c r="T98" s="433"/>
      <c r="U98" s="433"/>
      <c r="V98" s="433"/>
      <c r="W98" s="433"/>
      <c r="X98" s="434"/>
      <c r="Y98" s="457"/>
    </row>
    <row r="99" spans="1:25" s="9" customFormat="1" ht="55.5" customHeight="1" thickBot="1" x14ac:dyDescent="0.25">
      <c r="A99" s="10"/>
      <c r="B99" s="10"/>
      <c r="C99" s="1887"/>
      <c r="D99" s="2472"/>
      <c r="E99" s="2472"/>
      <c r="F99" s="2472"/>
      <c r="G99" s="2472"/>
      <c r="H99" s="2472"/>
      <c r="I99" s="2472"/>
      <c r="J99" s="355" t="s">
        <v>188</v>
      </c>
      <c r="K99" s="27">
        <v>43100</v>
      </c>
      <c r="L99" s="2574"/>
      <c r="M99" s="432"/>
      <c r="N99" s="433"/>
      <c r="O99" s="433"/>
      <c r="P99" s="433"/>
      <c r="Q99" s="433"/>
      <c r="R99" s="433"/>
      <c r="S99" s="433"/>
      <c r="T99" s="433"/>
      <c r="U99" s="433"/>
      <c r="V99" s="433"/>
      <c r="W99" s="433"/>
      <c r="X99" s="434"/>
      <c r="Y99" s="457"/>
    </row>
    <row r="100" spans="1:25" s="9" customFormat="1" ht="28.5" customHeight="1" thickBot="1" x14ac:dyDescent="0.25">
      <c r="A100" s="10"/>
      <c r="B100" s="10"/>
      <c r="C100" s="1887"/>
      <c r="D100" s="2472"/>
      <c r="E100" s="2472"/>
      <c r="F100" s="2472"/>
      <c r="G100" s="2472"/>
      <c r="H100" s="2472"/>
      <c r="I100" s="2472"/>
      <c r="J100" s="355" t="s">
        <v>172</v>
      </c>
      <c r="K100" s="315" t="s">
        <v>183</v>
      </c>
      <c r="L100" s="2574"/>
      <c r="M100" s="432"/>
      <c r="N100" s="433"/>
      <c r="O100" s="433"/>
      <c r="P100" s="433"/>
      <c r="Q100" s="433"/>
      <c r="R100" s="433"/>
      <c r="S100" s="433"/>
      <c r="T100" s="433"/>
      <c r="U100" s="433"/>
      <c r="V100" s="433"/>
      <c r="W100" s="433"/>
      <c r="X100" s="434"/>
      <c r="Y100" s="457"/>
    </row>
    <row r="101" spans="1:25" s="9" customFormat="1" ht="28.5" customHeight="1" thickBot="1" x14ac:dyDescent="0.25">
      <c r="A101" s="10"/>
      <c r="B101" s="10"/>
      <c r="C101" s="1887"/>
      <c r="D101" s="2472"/>
      <c r="E101" s="2472"/>
      <c r="F101" s="2472"/>
      <c r="G101" s="2472"/>
      <c r="H101" s="2472"/>
      <c r="I101" s="2472"/>
      <c r="J101" s="355" t="s">
        <v>173</v>
      </c>
      <c r="K101" s="315" t="s">
        <v>182</v>
      </c>
      <c r="L101" s="2575"/>
      <c r="M101" s="432"/>
      <c r="N101" s="433"/>
      <c r="O101" s="433"/>
      <c r="P101" s="433"/>
      <c r="Q101" s="433"/>
      <c r="R101" s="433"/>
      <c r="S101" s="433"/>
      <c r="T101" s="433"/>
      <c r="U101" s="433"/>
      <c r="V101" s="433"/>
      <c r="W101" s="433"/>
      <c r="X101" s="434"/>
      <c r="Y101" s="457"/>
    </row>
    <row r="102" spans="1:25" s="9" customFormat="1" ht="39.75" customHeight="1" thickBot="1" x14ac:dyDescent="0.25">
      <c r="A102" s="10"/>
      <c r="B102" s="10"/>
      <c r="C102" s="1887"/>
      <c r="D102" s="2472" t="s">
        <v>52</v>
      </c>
      <c r="E102" s="2472" t="s">
        <v>1273</v>
      </c>
      <c r="F102" s="2472" t="s">
        <v>224</v>
      </c>
      <c r="G102" s="2472" t="s">
        <v>225</v>
      </c>
      <c r="H102" s="2472" t="s">
        <v>190</v>
      </c>
      <c r="I102" s="2472"/>
      <c r="J102" s="355" t="s">
        <v>227</v>
      </c>
      <c r="K102" s="27">
        <v>43100</v>
      </c>
      <c r="L102" s="2573" t="s">
        <v>226</v>
      </c>
      <c r="M102" s="432"/>
      <c r="N102" s="433"/>
      <c r="O102" s="433"/>
      <c r="P102" s="433"/>
      <c r="Q102" s="433"/>
      <c r="R102" s="433"/>
      <c r="S102" s="433"/>
      <c r="T102" s="433"/>
      <c r="U102" s="433"/>
      <c r="V102" s="433"/>
      <c r="W102" s="433"/>
      <c r="X102" s="434"/>
      <c r="Y102" s="457"/>
    </row>
    <row r="103" spans="1:25" s="9" customFormat="1" ht="33.75" customHeight="1" thickBot="1" x14ac:dyDescent="0.25">
      <c r="A103" s="10"/>
      <c r="B103" s="10"/>
      <c r="C103" s="1887"/>
      <c r="D103" s="2472"/>
      <c r="E103" s="2472"/>
      <c r="F103" s="2472"/>
      <c r="G103" s="2472"/>
      <c r="H103" s="2472"/>
      <c r="I103" s="2472"/>
      <c r="J103" s="355" t="s">
        <v>228</v>
      </c>
      <c r="K103" s="27">
        <v>43100</v>
      </c>
      <c r="L103" s="2574"/>
      <c r="M103" s="432"/>
      <c r="N103" s="433"/>
      <c r="O103" s="433"/>
      <c r="P103" s="433"/>
      <c r="Q103" s="433"/>
      <c r="R103" s="433"/>
      <c r="S103" s="433"/>
      <c r="T103" s="433"/>
      <c r="U103" s="433"/>
      <c r="V103" s="433"/>
      <c r="W103" s="433"/>
      <c r="X103" s="434"/>
      <c r="Y103" s="457"/>
    </row>
    <row r="104" spans="1:25" s="9" customFormat="1" ht="28.5" customHeight="1" thickBot="1" x14ac:dyDescent="0.25">
      <c r="A104" s="10"/>
      <c r="B104" s="10"/>
      <c r="C104" s="1887"/>
      <c r="D104" s="2472"/>
      <c r="E104" s="2472"/>
      <c r="F104" s="2472"/>
      <c r="G104" s="2472"/>
      <c r="H104" s="2472"/>
      <c r="I104" s="2472"/>
      <c r="J104" s="355" t="s">
        <v>229</v>
      </c>
      <c r="K104" s="315" t="s">
        <v>183</v>
      </c>
      <c r="L104" s="2574"/>
      <c r="M104" s="432"/>
      <c r="N104" s="433"/>
      <c r="O104" s="433"/>
      <c r="P104" s="433"/>
      <c r="Q104" s="433"/>
      <c r="R104" s="433"/>
      <c r="S104" s="433"/>
      <c r="T104" s="433"/>
      <c r="U104" s="433"/>
      <c r="V104" s="433"/>
      <c r="W104" s="433"/>
      <c r="X104" s="434"/>
      <c r="Y104" s="457"/>
    </row>
    <row r="105" spans="1:25" s="9" customFormat="1" ht="28.5" customHeight="1" thickBot="1" x14ac:dyDescent="0.25">
      <c r="A105" s="10"/>
      <c r="B105" s="10"/>
      <c r="C105" s="1887"/>
      <c r="D105" s="2472"/>
      <c r="E105" s="2472"/>
      <c r="F105" s="2472"/>
      <c r="G105" s="2472"/>
      <c r="H105" s="2472"/>
      <c r="I105" s="2472"/>
      <c r="J105" s="355" t="s">
        <v>230</v>
      </c>
      <c r="K105" s="315" t="s">
        <v>182</v>
      </c>
      <c r="L105" s="2575"/>
      <c r="M105" s="432"/>
      <c r="N105" s="433"/>
      <c r="O105" s="433"/>
      <c r="P105" s="433"/>
      <c r="Q105" s="433"/>
      <c r="R105" s="433"/>
      <c r="S105" s="433"/>
      <c r="T105" s="433"/>
      <c r="U105" s="433"/>
      <c r="V105" s="433"/>
      <c r="W105" s="433"/>
      <c r="X105" s="434"/>
      <c r="Y105" s="457"/>
    </row>
    <row r="106" spans="1:25" s="9" customFormat="1" ht="87" customHeight="1" thickBot="1" x14ac:dyDescent="0.25">
      <c r="A106" s="10"/>
      <c r="B106" s="10"/>
      <c r="C106" s="1887"/>
      <c r="D106" s="343" t="s">
        <v>52</v>
      </c>
      <c r="E106" s="344" t="s">
        <v>1274</v>
      </c>
      <c r="F106" s="344" t="s">
        <v>1280</v>
      </c>
      <c r="G106" s="345" t="s">
        <v>191</v>
      </c>
      <c r="H106" s="343" t="s">
        <v>192</v>
      </c>
      <c r="I106" s="2472"/>
      <c r="J106" s="355" t="s">
        <v>194</v>
      </c>
      <c r="K106" s="27" t="s">
        <v>183</v>
      </c>
      <c r="L106" s="29" t="s">
        <v>193</v>
      </c>
      <c r="M106" s="432"/>
      <c r="N106" s="433"/>
      <c r="O106" s="433"/>
      <c r="P106" s="433"/>
      <c r="Q106" s="433"/>
      <c r="R106" s="433"/>
      <c r="S106" s="433"/>
      <c r="T106" s="433"/>
      <c r="U106" s="433"/>
      <c r="V106" s="433"/>
      <c r="W106" s="433"/>
      <c r="X106" s="434"/>
      <c r="Y106" s="457"/>
    </row>
    <row r="107" spans="1:25" s="9" customFormat="1" ht="57" customHeight="1" thickBot="1" x14ac:dyDescent="0.25">
      <c r="A107" s="10"/>
      <c r="B107" s="10"/>
      <c r="C107" s="1887"/>
      <c r="D107" s="2472" t="s">
        <v>52</v>
      </c>
      <c r="E107" s="2472" t="s">
        <v>1275</v>
      </c>
      <c r="F107" s="2472"/>
      <c r="G107" s="2570" t="s">
        <v>196</v>
      </c>
      <c r="H107" s="2472" t="s">
        <v>197</v>
      </c>
      <c r="I107" s="2472"/>
      <c r="J107" s="355" t="s">
        <v>199</v>
      </c>
      <c r="K107" s="27">
        <v>43190</v>
      </c>
      <c r="L107" s="2573" t="s">
        <v>198</v>
      </c>
      <c r="M107" s="432"/>
      <c r="N107" s="433"/>
      <c r="O107" s="433"/>
      <c r="P107" s="433"/>
      <c r="Q107" s="433"/>
      <c r="R107" s="433"/>
      <c r="S107" s="433"/>
      <c r="T107" s="433"/>
      <c r="U107" s="433"/>
      <c r="V107" s="433"/>
      <c r="W107" s="433"/>
      <c r="X107" s="434"/>
      <c r="Y107" s="457"/>
    </row>
    <row r="108" spans="1:25" s="9" customFormat="1" ht="51.75" customHeight="1" thickBot="1" x14ac:dyDescent="0.25">
      <c r="A108" s="10"/>
      <c r="B108" s="10"/>
      <c r="C108" s="1887"/>
      <c r="D108" s="2472"/>
      <c r="E108" s="2472"/>
      <c r="F108" s="2472"/>
      <c r="G108" s="2570"/>
      <c r="H108" s="2472"/>
      <c r="I108" s="2472"/>
      <c r="J108" s="355" t="s">
        <v>200</v>
      </c>
      <c r="K108" s="27">
        <v>43220</v>
      </c>
      <c r="L108" s="2575"/>
      <c r="M108" s="432"/>
      <c r="N108" s="433"/>
      <c r="O108" s="433"/>
      <c r="P108" s="433"/>
      <c r="Q108" s="433"/>
      <c r="R108" s="433"/>
      <c r="S108" s="433"/>
      <c r="T108" s="433"/>
      <c r="U108" s="433"/>
      <c r="V108" s="433"/>
      <c r="W108" s="433"/>
      <c r="X108" s="434"/>
      <c r="Y108" s="457"/>
    </row>
    <row r="109" spans="1:25" s="9" customFormat="1" ht="28.5" customHeight="1" thickBot="1" x14ac:dyDescent="0.25">
      <c r="A109" s="10"/>
      <c r="B109" s="10"/>
      <c r="C109" s="1887"/>
      <c r="D109" s="2472" t="s">
        <v>52</v>
      </c>
      <c r="E109" s="2472" t="s">
        <v>1266</v>
      </c>
      <c r="F109" s="2472"/>
      <c r="G109" s="2472" t="s">
        <v>202</v>
      </c>
      <c r="H109" s="2472" t="s">
        <v>203</v>
      </c>
      <c r="I109" s="2472"/>
      <c r="J109" s="355" t="s">
        <v>205</v>
      </c>
      <c r="K109" s="27">
        <v>43159</v>
      </c>
      <c r="L109" s="2526" t="s">
        <v>204</v>
      </c>
      <c r="M109" s="432"/>
      <c r="N109" s="433"/>
      <c r="O109" s="433"/>
      <c r="P109" s="433"/>
      <c r="Q109" s="433"/>
      <c r="R109" s="433"/>
      <c r="S109" s="433"/>
      <c r="T109" s="433"/>
      <c r="U109" s="433"/>
      <c r="V109" s="433"/>
      <c r="W109" s="433"/>
      <c r="X109" s="434"/>
      <c r="Y109" s="457"/>
    </row>
    <row r="110" spans="1:25" s="9" customFormat="1" ht="28.5" customHeight="1" thickBot="1" x14ac:dyDescent="0.25">
      <c r="A110" s="10"/>
      <c r="B110" s="10"/>
      <c r="C110" s="1887"/>
      <c r="D110" s="2472"/>
      <c r="E110" s="2472"/>
      <c r="F110" s="2472"/>
      <c r="G110" s="2472"/>
      <c r="H110" s="2472"/>
      <c r="I110" s="2472"/>
      <c r="J110" s="355" t="s">
        <v>206</v>
      </c>
      <c r="K110" s="27">
        <v>43220</v>
      </c>
      <c r="L110" s="2527"/>
      <c r="M110" s="432"/>
      <c r="N110" s="433"/>
      <c r="O110" s="433"/>
      <c r="P110" s="433"/>
      <c r="Q110" s="433"/>
      <c r="R110" s="433"/>
      <c r="S110" s="433"/>
      <c r="T110" s="433"/>
      <c r="U110" s="433"/>
      <c r="V110" s="433"/>
      <c r="W110" s="433"/>
      <c r="X110" s="434"/>
      <c r="Y110" s="457"/>
    </row>
    <row r="111" spans="1:25" s="9" customFormat="1" ht="28.5" customHeight="1" thickBot="1" x14ac:dyDescent="0.25">
      <c r="A111" s="10"/>
      <c r="B111" s="10"/>
      <c r="C111" s="1887"/>
      <c r="D111" s="2472"/>
      <c r="E111" s="2472"/>
      <c r="F111" s="2472"/>
      <c r="G111" s="2472"/>
      <c r="H111" s="2472"/>
      <c r="I111" s="2472"/>
      <c r="J111" s="355" t="s">
        <v>207</v>
      </c>
      <c r="K111" s="27">
        <v>43281</v>
      </c>
      <c r="L111" s="2527"/>
      <c r="M111" s="432"/>
      <c r="N111" s="433"/>
      <c r="O111" s="433"/>
      <c r="P111" s="433"/>
      <c r="Q111" s="433"/>
      <c r="R111" s="433"/>
      <c r="S111" s="433"/>
      <c r="T111" s="433"/>
      <c r="U111" s="433"/>
      <c r="V111" s="433"/>
      <c r="W111" s="433"/>
      <c r="X111" s="434"/>
      <c r="Y111" s="457"/>
    </row>
    <row r="112" spans="1:25" s="9" customFormat="1" ht="28.5" customHeight="1" thickBot="1" x14ac:dyDescent="0.25">
      <c r="A112" s="10"/>
      <c r="B112" s="10"/>
      <c r="C112" s="1887"/>
      <c r="D112" s="2472"/>
      <c r="E112" s="2472"/>
      <c r="F112" s="2472"/>
      <c r="G112" s="2472"/>
      <c r="H112" s="2472"/>
      <c r="I112" s="2472"/>
      <c r="J112" s="355" t="s">
        <v>208</v>
      </c>
      <c r="K112" s="27">
        <v>43343</v>
      </c>
      <c r="L112" s="2527"/>
      <c r="M112" s="432"/>
      <c r="N112" s="433"/>
      <c r="O112" s="433"/>
      <c r="P112" s="433"/>
      <c r="Q112" s="433"/>
      <c r="R112" s="433"/>
      <c r="S112" s="433"/>
      <c r="T112" s="433"/>
      <c r="U112" s="433"/>
      <c r="V112" s="433"/>
      <c r="W112" s="433"/>
      <c r="X112" s="434"/>
      <c r="Y112" s="457"/>
    </row>
    <row r="113" spans="1:25" s="9" customFormat="1" ht="28.5" customHeight="1" thickBot="1" x14ac:dyDescent="0.25">
      <c r="A113" s="10"/>
      <c r="B113" s="10"/>
      <c r="C113" s="1887"/>
      <c r="D113" s="2472"/>
      <c r="E113" s="2472"/>
      <c r="F113" s="2472"/>
      <c r="G113" s="2472"/>
      <c r="H113" s="2472"/>
      <c r="I113" s="2472"/>
      <c r="J113" s="355" t="s">
        <v>209</v>
      </c>
      <c r="K113" s="27">
        <v>43404</v>
      </c>
      <c r="L113" s="2527"/>
      <c r="M113" s="432"/>
      <c r="N113" s="433"/>
      <c r="O113" s="433"/>
      <c r="P113" s="433"/>
      <c r="Q113" s="433"/>
      <c r="R113" s="433"/>
      <c r="S113" s="433"/>
      <c r="T113" s="433"/>
      <c r="U113" s="433"/>
      <c r="V113" s="433"/>
      <c r="W113" s="433"/>
      <c r="X113" s="434"/>
      <c r="Y113" s="457"/>
    </row>
    <row r="114" spans="1:25" s="9" customFormat="1" ht="39.75" customHeight="1" thickBot="1" x14ac:dyDescent="0.25">
      <c r="A114" s="10"/>
      <c r="B114" s="10"/>
      <c r="C114" s="1887"/>
      <c r="D114" s="2472"/>
      <c r="E114" s="2472"/>
      <c r="F114" s="2472"/>
      <c r="G114" s="2472"/>
      <c r="H114" s="2472"/>
      <c r="I114" s="2472"/>
      <c r="J114" s="355" t="s">
        <v>210</v>
      </c>
      <c r="K114" s="27">
        <v>43465</v>
      </c>
      <c r="L114" s="2528"/>
      <c r="M114" s="432"/>
      <c r="N114" s="433"/>
      <c r="O114" s="433"/>
      <c r="P114" s="433"/>
      <c r="Q114" s="433"/>
      <c r="R114" s="433"/>
      <c r="S114" s="433"/>
      <c r="T114" s="433"/>
      <c r="U114" s="433"/>
      <c r="V114" s="433"/>
      <c r="W114" s="433"/>
      <c r="X114" s="434"/>
      <c r="Y114" s="457"/>
    </row>
    <row r="115" spans="1:25" s="9" customFormat="1" ht="58.5" customHeight="1" thickBot="1" x14ac:dyDescent="0.25">
      <c r="A115" s="10"/>
      <c r="B115" s="10"/>
      <c r="C115" s="1887"/>
      <c r="D115" s="2472" t="s">
        <v>52</v>
      </c>
      <c r="E115" s="2472" t="s">
        <v>1267</v>
      </c>
      <c r="F115" s="2472"/>
      <c r="G115" s="2472"/>
      <c r="H115" s="2472"/>
      <c r="I115" s="2472"/>
      <c r="J115" s="355" t="s">
        <v>212</v>
      </c>
      <c r="K115" s="27">
        <v>43465</v>
      </c>
      <c r="L115" s="2526" t="s">
        <v>211</v>
      </c>
      <c r="M115" s="432"/>
      <c r="N115" s="433"/>
      <c r="O115" s="433"/>
      <c r="P115" s="433"/>
      <c r="Q115" s="433"/>
      <c r="R115" s="433"/>
      <c r="S115" s="433"/>
      <c r="T115" s="433"/>
      <c r="U115" s="433"/>
      <c r="V115" s="433"/>
      <c r="W115" s="433"/>
      <c r="X115" s="434"/>
      <c r="Y115" s="457"/>
    </row>
    <row r="116" spans="1:25" s="9" customFormat="1" ht="28.5" customHeight="1" thickBot="1" x14ac:dyDescent="0.25">
      <c r="A116" s="10"/>
      <c r="B116" s="10"/>
      <c r="C116" s="1887"/>
      <c r="D116" s="2472"/>
      <c r="E116" s="2472"/>
      <c r="F116" s="2472"/>
      <c r="G116" s="2472"/>
      <c r="H116" s="2472"/>
      <c r="I116" s="2472"/>
      <c r="J116" s="355" t="s">
        <v>214</v>
      </c>
      <c r="K116" s="27">
        <v>43465</v>
      </c>
      <c r="L116" s="2527"/>
      <c r="M116" s="432"/>
      <c r="N116" s="433"/>
      <c r="O116" s="433"/>
      <c r="P116" s="433"/>
      <c r="Q116" s="433"/>
      <c r="R116" s="433"/>
      <c r="S116" s="433"/>
      <c r="T116" s="433"/>
      <c r="U116" s="433"/>
      <c r="V116" s="433"/>
      <c r="W116" s="433"/>
      <c r="X116" s="434"/>
      <c r="Y116" s="457"/>
    </row>
    <row r="117" spans="1:25" s="9" customFormat="1" ht="28.5" customHeight="1" thickBot="1" x14ac:dyDescent="0.25">
      <c r="A117" s="10"/>
      <c r="B117" s="10"/>
      <c r="C117" s="1887"/>
      <c r="D117" s="2472"/>
      <c r="E117" s="2472"/>
      <c r="F117" s="2472"/>
      <c r="G117" s="2472"/>
      <c r="H117" s="2472"/>
      <c r="I117" s="2472"/>
      <c r="J117" s="355" t="s">
        <v>213</v>
      </c>
      <c r="K117" s="27">
        <v>43455</v>
      </c>
      <c r="L117" s="2528"/>
      <c r="M117" s="432"/>
      <c r="N117" s="433"/>
      <c r="O117" s="433"/>
      <c r="P117" s="433"/>
      <c r="Q117" s="433"/>
      <c r="R117" s="433"/>
      <c r="S117" s="433"/>
      <c r="T117" s="433"/>
      <c r="U117" s="433"/>
      <c r="V117" s="433"/>
      <c r="W117" s="433"/>
      <c r="X117" s="434"/>
      <c r="Y117" s="457"/>
    </row>
    <row r="118" spans="1:25" s="9" customFormat="1" ht="47.25" customHeight="1" thickBot="1" x14ac:dyDescent="0.25">
      <c r="A118" s="10"/>
      <c r="B118" s="10"/>
      <c r="C118" s="1887"/>
      <c r="D118" s="2472" t="s">
        <v>52</v>
      </c>
      <c r="E118" s="2472" t="s">
        <v>1268</v>
      </c>
      <c r="F118" s="2472"/>
      <c r="G118" s="2472"/>
      <c r="H118" s="2472"/>
      <c r="I118" s="2472"/>
      <c r="J118" s="355" t="s">
        <v>216</v>
      </c>
      <c r="K118" s="27">
        <v>43465</v>
      </c>
      <c r="L118" s="2526" t="s">
        <v>215</v>
      </c>
      <c r="M118" s="432"/>
      <c r="N118" s="433"/>
      <c r="O118" s="433"/>
      <c r="P118" s="433"/>
      <c r="Q118" s="433"/>
      <c r="R118" s="433"/>
      <c r="S118" s="433"/>
      <c r="T118" s="433"/>
      <c r="U118" s="433"/>
      <c r="V118" s="433"/>
      <c r="W118" s="433"/>
      <c r="X118" s="434"/>
      <c r="Y118" s="457"/>
    </row>
    <row r="119" spans="1:25" s="9" customFormat="1" ht="47.25" customHeight="1" thickBot="1" x14ac:dyDescent="0.25">
      <c r="A119" s="10"/>
      <c r="B119" s="10"/>
      <c r="C119" s="1887"/>
      <c r="D119" s="2472"/>
      <c r="E119" s="2472"/>
      <c r="F119" s="2472"/>
      <c r="G119" s="2472"/>
      <c r="H119" s="2472"/>
      <c r="I119" s="2472"/>
      <c r="J119" s="353" t="s">
        <v>217</v>
      </c>
      <c r="K119" s="27">
        <v>43465</v>
      </c>
      <c r="L119" s="2528"/>
      <c r="M119" s="432"/>
      <c r="N119" s="433"/>
      <c r="O119" s="433"/>
      <c r="P119" s="433"/>
      <c r="Q119" s="433"/>
      <c r="R119" s="433"/>
      <c r="S119" s="433"/>
      <c r="T119" s="433"/>
      <c r="U119" s="433"/>
      <c r="V119" s="433"/>
      <c r="W119" s="433"/>
      <c r="X119" s="434"/>
      <c r="Y119" s="457"/>
    </row>
    <row r="120" spans="1:25" s="9" customFormat="1" ht="48" customHeight="1" thickBot="1" x14ac:dyDescent="0.25">
      <c r="A120" s="10"/>
      <c r="B120" s="10"/>
      <c r="C120" s="2478" t="s">
        <v>1302</v>
      </c>
      <c r="D120" s="2517" t="s">
        <v>67</v>
      </c>
      <c r="E120" s="2519" t="s">
        <v>1281</v>
      </c>
      <c r="F120" s="2519" t="s">
        <v>257</v>
      </c>
      <c r="G120" s="2519" t="s">
        <v>1282</v>
      </c>
      <c r="H120" s="2519" t="s">
        <v>256</v>
      </c>
      <c r="I120" s="2517" t="s">
        <v>261</v>
      </c>
      <c r="J120" s="526" t="s">
        <v>258</v>
      </c>
      <c r="K120" s="527">
        <v>43190</v>
      </c>
      <c r="L120" s="2517" t="s">
        <v>249</v>
      </c>
      <c r="M120" s="528"/>
      <c r="N120" s="529"/>
      <c r="O120" s="529"/>
      <c r="P120" s="529"/>
      <c r="Q120" s="529"/>
      <c r="R120" s="529"/>
      <c r="S120" s="529"/>
      <c r="T120" s="529"/>
      <c r="U120" s="529"/>
      <c r="V120" s="529"/>
      <c r="W120" s="529"/>
      <c r="X120" s="530"/>
      <c r="Y120" s="457"/>
    </row>
    <row r="121" spans="1:25" s="9" customFormat="1" ht="36.75" customHeight="1" thickBot="1" x14ac:dyDescent="0.25">
      <c r="A121" s="10"/>
      <c r="B121" s="10"/>
      <c r="C121" s="2479"/>
      <c r="D121" s="2517"/>
      <c r="E121" s="2519"/>
      <c r="F121" s="2519"/>
      <c r="G121" s="2519"/>
      <c r="H121" s="2519"/>
      <c r="I121" s="2517"/>
      <c r="J121" s="526" t="s">
        <v>259</v>
      </c>
      <c r="K121" s="527">
        <v>43220</v>
      </c>
      <c r="L121" s="2517"/>
      <c r="M121" s="528"/>
      <c r="N121" s="529"/>
      <c r="O121" s="529"/>
      <c r="P121" s="529"/>
      <c r="Q121" s="529"/>
      <c r="R121" s="529"/>
      <c r="S121" s="529"/>
      <c r="T121" s="529"/>
      <c r="U121" s="529"/>
      <c r="V121" s="529"/>
      <c r="W121" s="529"/>
      <c r="X121" s="530"/>
      <c r="Y121" s="457"/>
    </row>
    <row r="122" spans="1:25" s="9" customFormat="1" ht="46.5" customHeight="1" thickBot="1" x14ac:dyDescent="0.25">
      <c r="A122" s="10"/>
      <c r="B122" s="10"/>
      <c r="C122" s="2479"/>
      <c r="D122" s="2517"/>
      <c r="E122" s="2519"/>
      <c r="F122" s="2519"/>
      <c r="G122" s="2519"/>
      <c r="H122" s="2519"/>
      <c r="I122" s="2517"/>
      <c r="J122" s="531" t="s">
        <v>1276</v>
      </c>
      <c r="K122" s="527">
        <v>43373</v>
      </c>
      <c r="L122" s="2517"/>
      <c r="M122" s="528"/>
      <c r="N122" s="529"/>
      <c r="O122" s="529"/>
      <c r="P122" s="529"/>
      <c r="Q122" s="529"/>
      <c r="R122" s="529"/>
      <c r="S122" s="529"/>
      <c r="T122" s="529"/>
      <c r="U122" s="529"/>
      <c r="V122" s="529"/>
      <c r="W122" s="529"/>
      <c r="X122" s="530"/>
      <c r="Y122" s="457"/>
    </row>
    <row r="123" spans="1:25" s="9" customFormat="1" ht="38.25" customHeight="1" thickBot="1" x14ac:dyDescent="0.25">
      <c r="A123" s="10"/>
      <c r="B123" s="10"/>
      <c r="C123" s="2479"/>
      <c r="D123" s="2517"/>
      <c r="E123" s="2519"/>
      <c r="F123" s="2519"/>
      <c r="G123" s="2519"/>
      <c r="H123" s="2519"/>
      <c r="I123" s="2517"/>
      <c r="J123" s="526" t="s">
        <v>1277</v>
      </c>
      <c r="K123" s="527">
        <v>43403</v>
      </c>
      <c r="L123" s="2517"/>
      <c r="M123" s="528"/>
      <c r="N123" s="529"/>
      <c r="O123" s="529"/>
      <c r="P123" s="529"/>
      <c r="Q123" s="529"/>
      <c r="R123" s="529"/>
      <c r="S123" s="529"/>
      <c r="T123" s="529"/>
      <c r="U123" s="529"/>
      <c r="V123" s="529"/>
      <c r="W123" s="529"/>
      <c r="X123" s="530"/>
      <c r="Y123" s="457"/>
    </row>
    <row r="124" spans="1:25" s="9" customFormat="1" ht="47.25" customHeight="1" thickBot="1" x14ac:dyDescent="0.25">
      <c r="A124" s="10"/>
      <c r="B124" s="10"/>
      <c r="C124" s="2479"/>
      <c r="D124" s="2517"/>
      <c r="E124" s="2519"/>
      <c r="F124" s="2519"/>
      <c r="G124" s="2519"/>
      <c r="H124" s="2519"/>
      <c r="I124" s="2517"/>
      <c r="J124" s="526" t="s">
        <v>260</v>
      </c>
      <c r="K124" s="527">
        <v>43434</v>
      </c>
      <c r="L124" s="2517"/>
      <c r="M124" s="528"/>
      <c r="N124" s="529"/>
      <c r="O124" s="529"/>
      <c r="P124" s="529"/>
      <c r="Q124" s="529"/>
      <c r="R124" s="529"/>
      <c r="S124" s="529"/>
      <c r="T124" s="529"/>
      <c r="U124" s="529"/>
      <c r="V124" s="529"/>
      <c r="W124" s="529"/>
      <c r="X124" s="530"/>
      <c r="Y124" s="457"/>
    </row>
    <row r="125" spans="1:25" s="9" customFormat="1" ht="61.5" customHeight="1" thickBot="1" x14ac:dyDescent="0.25">
      <c r="A125" s="10"/>
      <c r="B125" s="10"/>
      <c r="C125" s="2479"/>
      <c r="D125" s="2517" t="s">
        <v>50</v>
      </c>
      <c r="E125" s="2517" t="s">
        <v>1283</v>
      </c>
      <c r="F125" s="2517" t="s">
        <v>1284</v>
      </c>
      <c r="G125" s="2517" t="s">
        <v>237</v>
      </c>
      <c r="H125" s="2517" t="s">
        <v>238</v>
      </c>
      <c r="I125" s="2517" t="s">
        <v>236</v>
      </c>
      <c r="J125" s="531" t="s">
        <v>1278</v>
      </c>
      <c r="K125" s="527">
        <v>43312</v>
      </c>
      <c r="L125" s="2517" t="s">
        <v>239</v>
      </c>
      <c r="M125" s="528"/>
      <c r="N125" s="529"/>
      <c r="O125" s="529"/>
      <c r="P125" s="529"/>
      <c r="Q125" s="529"/>
      <c r="R125" s="529"/>
      <c r="S125" s="529"/>
      <c r="T125" s="529"/>
      <c r="U125" s="529"/>
      <c r="V125" s="529"/>
      <c r="W125" s="529"/>
      <c r="X125" s="530"/>
      <c r="Y125" s="457"/>
    </row>
    <row r="126" spans="1:25" s="9" customFormat="1" ht="61.5" customHeight="1" thickBot="1" x14ac:dyDescent="0.25">
      <c r="A126" s="10"/>
      <c r="B126" s="10"/>
      <c r="C126" s="2479"/>
      <c r="D126" s="2517"/>
      <c r="E126" s="2517"/>
      <c r="F126" s="2517"/>
      <c r="G126" s="2517"/>
      <c r="H126" s="2517"/>
      <c r="I126" s="2517"/>
      <c r="J126" s="532" t="s">
        <v>240</v>
      </c>
      <c r="K126" s="527">
        <v>43465</v>
      </c>
      <c r="L126" s="2517"/>
      <c r="M126" s="528"/>
      <c r="N126" s="529"/>
      <c r="O126" s="529"/>
      <c r="P126" s="529"/>
      <c r="Q126" s="529"/>
      <c r="R126" s="529"/>
      <c r="S126" s="529"/>
      <c r="T126" s="529"/>
      <c r="U126" s="529"/>
      <c r="V126" s="529"/>
      <c r="W126" s="529"/>
      <c r="X126" s="530"/>
      <c r="Y126" s="457"/>
    </row>
    <row r="127" spans="1:25" s="9" customFormat="1" ht="61.5" customHeight="1" thickBot="1" x14ac:dyDescent="0.25">
      <c r="A127" s="10"/>
      <c r="B127" s="10"/>
      <c r="C127" s="2479"/>
      <c r="D127" s="2517"/>
      <c r="E127" s="2518" t="s">
        <v>1285</v>
      </c>
      <c r="F127" s="2517" t="s">
        <v>1286</v>
      </c>
      <c r="G127" s="2517" t="s">
        <v>241</v>
      </c>
      <c r="H127" s="2517" t="s">
        <v>242</v>
      </c>
      <c r="I127" s="2517" t="s">
        <v>236</v>
      </c>
      <c r="J127" s="531" t="s">
        <v>244</v>
      </c>
      <c r="K127" s="527">
        <v>43465</v>
      </c>
      <c r="L127" s="2592" t="s">
        <v>243</v>
      </c>
      <c r="M127" s="528"/>
      <c r="N127" s="529"/>
      <c r="O127" s="529"/>
      <c r="P127" s="529"/>
      <c r="Q127" s="529"/>
      <c r="R127" s="529"/>
      <c r="S127" s="529"/>
      <c r="T127" s="529"/>
      <c r="U127" s="529"/>
      <c r="V127" s="529"/>
      <c r="W127" s="529"/>
      <c r="X127" s="530"/>
      <c r="Y127" s="457"/>
    </row>
    <row r="128" spans="1:25" s="9" customFormat="1" ht="61.5" customHeight="1" thickBot="1" x14ac:dyDescent="0.25">
      <c r="A128" s="10"/>
      <c r="B128" s="10"/>
      <c r="C128" s="2479"/>
      <c r="D128" s="2517"/>
      <c r="E128" s="2518"/>
      <c r="F128" s="2517"/>
      <c r="G128" s="2517"/>
      <c r="H128" s="2517"/>
      <c r="I128" s="2517"/>
      <c r="J128" s="526" t="s">
        <v>245</v>
      </c>
      <c r="K128" s="527">
        <v>43465</v>
      </c>
      <c r="L128" s="2593"/>
      <c r="M128" s="528"/>
      <c r="N128" s="529"/>
      <c r="O128" s="529"/>
      <c r="P128" s="529"/>
      <c r="Q128" s="529"/>
      <c r="R128" s="529"/>
      <c r="S128" s="529"/>
      <c r="T128" s="529"/>
      <c r="U128" s="529"/>
      <c r="V128" s="529"/>
      <c r="W128" s="529"/>
      <c r="X128" s="530"/>
      <c r="Y128" s="457"/>
    </row>
    <row r="129" spans="1:25" s="9" customFormat="1" ht="61.5" customHeight="1" thickBot="1" x14ac:dyDescent="0.25">
      <c r="A129" s="10"/>
      <c r="B129" s="10"/>
      <c r="C129" s="2479"/>
      <c r="D129" s="2517"/>
      <c r="E129" s="2518" t="s">
        <v>246</v>
      </c>
      <c r="F129" s="2519" t="s">
        <v>1287</v>
      </c>
      <c r="G129" s="2519" t="s">
        <v>247</v>
      </c>
      <c r="H129" s="2519" t="s">
        <v>248</v>
      </c>
      <c r="I129" s="2519" t="s">
        <v>236</v>
      </c>
      <c r="J129" s="533" t="s">
        <v>250</v>
      </c>
      <c r="K129" s="527">
        <v>43159</v>
      </c>
      <c r="L129" s="2517" t="s">
        <v>249</v>
      </c>
      <c r="M129" s="528"/>
      <c r="N129" s="529"/>
      <c r="O129" s="529"/>
      <c r="P129" s="529"/>
      <c r="Q129" s="529"/>
      <c r="R129" s="529"/>
      <c r="S129" s="529"/>
      <c r="T129" s="529"/>
      <c r="U129" s="529"/>
      <c r="V129" s="529"/>
      <c r="W129" s="529"/>
      <c r="X129" s="530"/>
      <c r="Y129" s="457"/>
    </row>
    <row r="130" spans="1:25" s="9" customFormat="1" ht="61.5" customHeight="1" thickBot="1" x14ac:dyDescent="0.25">
      <c r="A130" s="10"/>
      <c r="B130" s="10"/>
      <c r="C130" s="2479"/>
      <c r="D130" s="2517"/>
      <c r="E130" s="2518"/>
      <c r="F130" s="2519"/>
      <c r="G130" s="2519"/>
      <c r="H130" s="2519"/>
      <c r="I130" s="2519"/>
      <c r="J130" s="533" t="s">
        <v>251</v>
      </c>
      <c r="K130" s="527">
        <v>43220</v>
      </c>
      <c r="L130" s="2517"/>
      <c r="M130" s="528"/>
      <c r="N130" s="529"/>
      <c r="O130" s="529"/>
      <c r="P130" s="529"/>
      <c r="Q130" s="529"/>
      <c r="R130" s="529"/>
      <c r="S130" s="529"/>
      <c r="T130" s="529"/>
      <c r="U130" s="529"/>
      <c r="V130" s="529"/>
      <c r="W130" s="529"/>
      <c r="X130" s="530"/>
      <c r="Y130" s="457"/>
    </row>
    <row r="131" spans="1:25" s="9" customFormat="1" ht="61.5" customHeight="1" thickBot="1" x14ac:dyDescent="0.25">
      <c r="A131" s="10"/>
      <c r="B131" s="10"/>
      <c r="C131" s="2479"/>
      <c r="D131" s="2517"/>
      <c r="E131" s="2518"/>
      <c r="F131" s="2519"/>
      <c r="G131" s="2519"/>
      <c r="H131" s="2519"/>
      <c r="I131" s="2519"/>
      <c r="J131" s="533" t="s">
        <v>252</v>
      </c>
      <c r="K131" s="527">
        <v>43281</v>
      </c>
      <c r="L131" s="2517"/>
      <c r="M131" s="528"/>
      <c r="N131" s="529"/>
      <c r="O131" s="529"/>
      <c r="P131" s="529"/>
      <c r="Q131" s="529"/>
      <c r="R131" s="529"/>
      <c r="S131" s="529"/>
      <c r="T131" s="529"/>
      <c r="U131" s="529"/>
      <c r="V131" s="529"/>
      <c r="W131" s="529"/>
      <c r="X131" s="530"/>
      <c r="Y131" s="457"/>
    </row>
    <row r="132" spans="1:25" s="9" customFormat="1" ht="61.5" customHeight="1" thickBot="1" x14ac:dyDescent="0.25">
      <c r="A132" s="10"/>
      <c r="B132" s="10"/>
      <c r="C132" s="2479"/>
      <c r="D132" s="2517"/>
      <c r="E132" s="2518"/>
      <c r="F132" s="2519"/>
      <c r="G132" s="2519"/>
      <c r="H132" s="2519"/>
      <c r="I132" s="2519"/>
      <c r="J132" s="532" t="s">
        <v>253</v>
      </c>
      <c r="K132" s="527">
        <v>43281</v>
      </c>
      <c r="L132" s="2517"/>
      <c r="M132" s="528"/>
      <c r="N132" s="529"/>
      <c r="O132" s="529"/>
      <c r="P132" s="529"/>
      <c r="Q132" s="529"/>
      <c r="R132" s="529"/>
      <c r="S132" s="529"/>
      <c r="T132" s="529"/>
      <c r="U132" s="529"/>
      <c r="V132" s="529"/>
      <c r="W132" s="529"/>
      <c r="X132" s="530"/>
      <c r="Y132" s="457"/>
    </row>
    <row r="133" spans="1:25" s="9" customFormat="1" ht="61.5" customHeight="1" thickBot="1" x14ac:dyDescent="0.25">
      <c r="A133" s="10"/>
      <c r="B133" s="10"/>
      <c r="C133" s="2479"/>
      <c r="D133" s="2517"/>
      <c r="E133" s="2518"/>
      <c r="F133" s="2519"/>
      <c r="G133" s="2519"/>
      <c r="H133" s="2519"/>
      <c r="I133" s="2519"/>
      <c r="J133" s="533" t="s">
        <v>254</v>
      </c>
      <c r="K133" s="527">
        <v>43465</v>
      </c>
      <c r="L133" s="2517"/>
      <c r="M133" s="528"/>
      <c r="N133" s="529"/>
      <c r="O133" s="529"/>
      <c r="P133" s="529"/>
      <c r="Q133" s="529"/>
      <c r="R133" s="529"/>
      <c r="S133" s="529"/>
      <c r="T133" s="529"/>
      <c r="U133" s="529"/>
      <c r="V133" s="529"/>
      <c r="W133" s="529"/>
      <c r="X133" s="530"/>
      <c r="Y133" s="457"/>
    </row>
    <row r="134" spans="1:25" s="9" customFormat="1" ht="61.5" customHeight="1" thickBot="1" x14ac:dyDescent="0.25">
      <c r="A134" s="10"/>
      <c r="B134" s="10"/>
      <c r="C134" s="2479"/>
      <c r="D134" s="2517"/>
      <c r="E134" s="2518"/>
      <c r="F134" s="2519"/>
      <c r="G134" s="2519"/>
      <c r="H134" s="2519"/>
      <c r="I134" s="2519"/>
      <c r="J134" s="533" t="s">
        <v>255</v>
      </c>
      <c r="K134" s="527">
        <v>43465</v>
      </c>
      <c r="L134" s="2517"/>
      <c r="M134" s="528"/>
      <c r="N134" s="529"/>
      <c r="O134" s="529"/>
      <c r="P134" s="529"/>
      <c r="Q134" s="529"/>
      <c r="R134" s="529"/>
      <c r="S134" s="529"/>
      <c r="T134" s="529"/>
      <c r="U134" s="529"/>
      <c r="V134" s="529"/>
      <c r="W134" s="529"/>
      <c r="X134" s="530"/>
      <c r="Y134" s="457"/>
    </row>
    <row r="135" spans="1:25" s="9" customFormat="1" ht="154.5" customHeight="1" thickBot="1" x14ac:dyDescent="0.25">
      <c r="A135" s="10"/>
      <c r="B135" s="10"/>
      <c r="C135" s="2479"/>
      <c r="D135" s="2517"/>
      <c r="E135" s="2518" t="s">
        <v>1288</v>
      </c>
      <c r="F135" s="2519" t="s">
        <v>262</v>
      </c>
      <c r="G135" s="2519"/>
      <c r="H135" s="2519" t="s">
        <v>263</v>
      </c>
      <c r="I135" s="2519" t="s">
        <v>264</v>
      </c>
      <c r="J135" s="533" t="s">
        <v>265</v>
      </c>
      <c r="K135" s="527">
        <v>43220</v>
      </c>
      <c r="L135" s="2514" t="s">
        <v>239</v>
      </c>
      <c r="M135" s="528"/>
      <c r="N135" s="529"/>
      <c r="O135" s="529"/>
      <c r="P135" s="529"/>
      <c r="Q135" s="529"/>
      <c r="R135" s="529"/>
      <c r="S135" s="529"/>
      <c r="T135" s="529"/>
      <c r="U135" s="529"/>
      <c r="V135" s="529"/>
      <c r="W135" s="529"/>
      <c r="X135" s="530"/>
      <c r="Y135" s="457"/>
    </row>
    <row r="136" spans="1:25" s="9" customFormat="1" ht="61.5" customHeight="1" thickBot="1" x14ac:dyDescent="0.25">
      <c r="A136" s="10"/>
      <c r="B136" s="10"/>
      <c r="C136" s="2479"/>
      <c r="D136" s="2517"/>
      <c r="E136" s="2518"/>
      <c r="F136" s="2519"/>
      <c r="G136" s="2519"/>
      <c r="H136" s="2519"/>
      <c r="I136" s="2519"/>
      <c r="J136" s="533" t="s">
        <v>266</v>
      </c>
      <c r="K136" s="527">
        <v>43281</v>
      </c>
      <c r="L136" s="2514"/>
      <c r="M136" s="528"/>
      <c r="N136" s="529"/>
      <c r="O136" s="529"/>
      <c r="P136" s="529"/>
      <c r="Q136" s="529"/>
      <c r="R136" s="529"/>
      <c r="S136" s="529"/>
      <c r="T136" s="529"/>
      <c r="U136" s="529"/>
      <c r="V136" s="529"/>
      <c r="W136" s="529"/>
      <c r="X136" s="530"/>
      <c r="Y136" s="457"/>
    </row>
    <row r="137" spans="1:25" s="9" customFormat="1" ht="61.5" customHeight="1" thickBot="1" x14ac:dyDescent="0.25">
      <c r="A137" s="10"/>
      <c r="B137" s="10"/>
      <c r="C137" s="2479"/>
      <c r="D137" s="2517"/>
      <c r="E137" s="2518" t="s">
        <v>267</v>
      </c>
      <c r="F137" s="2525" t="s">
        <v>268</v>
      </c>
      <c r="G137" s="2521" t="s">
        <v>269</v>
      </c>
      <c r="H137" s="2521" t="s">
        <v>270</v>
      </c>
      <c r="I137" s="2591" t="s">
        <v>264</v>
      </c>
      <c r="J137" s="533" t="s">
        <v>1279</v>
      </c>
      <c r="K137" s="527">
        <v>43220</v>
      </c>
      <c r="L137" s="2592" t="s">
        <v>239</v>
      </c>
      <c r="M137" s="528"/>
      <c r="N137" s="529"/>
      <c r="O137" s="529"/>
      <c r="P137" s="529"/>
      <c r="Q137" s="529"/>
      <c r="R137" s="529"/>
      <c r="S137" s="529"/>
      <c r="T137" s="529"/>
      <c r="U137" s="529"/>
      <c r="V137" s="529"/>
      <c r="W137" s="529"/>
      <c r="X137" s="530"/>
      <c r="Y137" s="457"/>
    </row>
    <row r="138" spans="1:25" s="9" customFormat="1" ht="61.5" customHeight="1" thickBot="1" x14ac:dyDescent="0.25">
      <c r="A138" s="10"/>
      <c r="B138" s="10"/>
      <c r="C138" s="2479"/>
      <c r="D138" s="2517"/>
      <c r="E138" s="2518"/>
      <c r="F138" s="2525"/>
      <c r="G138" s="2521"/>
      <c r="H138" s="2521"/>
      <c r="I138" s="2591"/>
      <c r="J138" s="533" t="s">
        <v>271</v>
      </c>
      <c r="K138" s="527">
        <v>43281</v>
      </c>
      <c r="L138" s="2593"/>
      <c r="M138" s="528"/>
      <c r="N138" s="529"/>
      <c r="O138" s="529"/>
      <c r="P138" s="529"/>
      <c r="Q138" s="529"/>
      <c r="R138" s="529"/>
      <c r="S138" s="529"/>
      <c r="T138" s="529"/>
      <c r="U138" s="529"/>
      <c r="V138" s="529"/>
      <c r="W138" s="529"/>
      <c r="X138" s="530"/>
      <c r="Y138" s="457"/>
    </row>
    <row r="139" spans="1:25" s="9" customFormat="1" ht="114.75" customHeight="1" thickBot="1" x14ac:dyDescent="0.25">
      <c r="A139" s="10"/>
      <c r="B139" s="10"/>
      <c r="C139" s="2479"/>
      <c r="D139" s="2517"/>
      <c r="E139" s="2518" t="s">
        <v>272</v>
      </c>
      <c r="F139" s="2523">
        <v>1</v>
      </c>
      <c r="G139" s="2524" t="s">
        <v>273</v>
      </c>
      <c r="H139" s="2512" t="s">
        <v>274</v>
      </c>
      <c r="I139" s="2513" t="s">
        <v>264</v>
      </c>
      <c r="J139" s="534" t="s">
        <v>276</v>
      </c>
      <c r="K139" s="527">
        <v>43465</v>
      </c>
      <c r="L139" s="2514" t="s">
        <v>275</v>
      </c>
      <c r="M139" s="528"/>
      <c r="N139" s="529"/>
      <c r="O139" s="529"/>
      <c r="P139" s="529"/>
      <c r="Q139" s="529"/>
      <c r="R139" s="529"/>
      <c r="S139" s="529"/>
      <c r="T139" s="529"/>
      <c r="U139" s="529"/>
      <c r="V139" s="529"/>
      <c r="W139" s="529"/>
      <c r="X139" s="530"/>
      <c r="Y139" s="457"/>
    </row>
    <row r="140" spans="1:25" s="9" customFormat="1" ht="61.5" customHeight="1" thickBot="1" x14ac:dyDescent="0.25">
      <c r="A140" s="10"/>
      <c r="B140" s="10"/>
      <c r="C140" s="2479"/>
      <c r="D140" s="2517"/>
      <c r="E140" s="2518"/>
      <c r="F140" s="2523"/>
      <c r="G140" s="2524"/>
      <c r="H140" s="2512"/>
      <c r="I140" s="2513"/>
      <c r="J140" s="534" t="s">
        <v>277</v>
      </c>
      <c r="K140" s="527">
        <v>43465</v>
      </c>
      <c r="L140" s="2514"/>
      <c r="M140" s="528"/>
      <c r="N140" s="529"/>
      <c r="O140" s="529"/>
      <c r="P140" s="529"/>
      <c r="Q140" s="529"/>
      <c r="R140" s="529"/>
      <c r="S140" s="529"/>
      <c r="T140" s="529"/>
      <c r="U140" s="529"/>
      <c r="V140" s="529"/>
      <c r="W140" s="529"/>
      <c r="X140" s="530"/>
      <c r="Y140" s="457"/>
    </row>
    <row r="141" spans="1:25" s="9" customFormat="1" ht="90.75" customHeight="1" thickBot="1" x14ac:dyDescent="0.25">
      <c r="A141" s="10"/>
      <c r="B141" s="10"/>
      <c r="C141" s="2479"/>
      <c r="D141" s="2517"/>
      <c r="E141" s="2518"/>
      <c r="F141" s="2523"/>
      <c r="G141" s="2524"/>
      <c r="H141" s="2512"/>
      <c r="I141" s="2513"/>
      <c r="J141" s="534" t="s">
        <v>278</v>
      </c>
      <c r="K141" s="527">
        <v>43131</v>
      </c>
      <c r="L141" s="2514"/>
      <c r="M141" s="528"/>
      <c r="N141" s="529"/>
      <c r="O141" s="529"/>
      <c r="P141" s="529"/>
      <c r="Q141" s="529"/>
      <c r="R141" s="529"/>
      <c r="S141" s="529"/>
      <c r="T141" s="529"/>
      <c r="U141" s="529"/>
      <c r="V141" s="529"/>
      <c r="W141" s="529"/>
      <c r="X141" s="530"/>
      <c r="Y141" s="457"/>
    </row>
    <row r="142" spans="1:25" s="9" customFormat="1" ht="61.5" customHeight="1" thickBot="1" x14ac:dyDescent="0.25">
      <c r="A142" s="10"/>
      <c r="B142" s="10"/>
      <c r="C142" s="2479"/>
      <c r="D142" s="2517"/>
      <c r="E142" s="2518"/>
      <c r="F142" s="2523"/>
      <c r="G142" s="2524"/>
      <c r="H142" s="2512"/>
      <c r="I142" s="2513"/>
      <c r="J142" s="526" t="s">
        <v>279</v>
      </c>
      <c r="K142" s="527">
        <v>43131</v>
      </c>
      <c r="L142" s="2514"/>
      <c r="M142" s="528"/>
      <c r="N142" s="529"/>
      <c r="O142" s="529"/>
      <c r="P142" s="529"/>
      <c r="Q142" s="529"/>
      <c r="R142" s="529"/>
      <c r="S142" s="529"/>
      <c r="T142" s="529"/>
      <c r="U142" s="529"/>
      <c r="V142" s="529"/>
      <c r="W142" s="529"/>
      <c r="X142" s="530"/>
      <c r="Y142" s="457"/>
    </row>
    <row r="143" spans="1:25" s="9" customFormat="1" ht="61.5" customHeight="1" thickBot="1" x14ac:dyDescent="0.25">
      <c r="A143" s="10"/>
      <c r="B143" s="10"/>
      <c r="C143" s="2479"/>
      <c r="D143" s="2517"/>
      <c r="E143" s="2520" t="s">
        <v>280</v>
      </c>
      <c r="F143" s="2521" t="s">
        <v>281</v>
      </c>
      <c r="G143" s="2522" t="s">
        <v>282</v>
      </c>
      <c r="H143" s="2522" t="s">
        <v>283</v>
      </c>
      <c r="I143" s="2513" t="s">
        <v>264</v>
      </c>
      <c r="J143" s="534" t="s">
        <v>285</v>
      </c>
      <c r="K143" s="535">
        <v>43373</v>
      </c>
      <c r="L143" s="2517" t="s">
        <v>284</v>
      </c>
      <c r="M143" s="528"/>
      <c r="N143" s="529"/>
      <c r="O143" s="529"/>
      <c r="P143" s="529"/>
      <c r="Q143" s="529"/>
      <c r="R143" s="529"/>
      <c r="S143" s="529"/>
      <c r="T143" s="529"/>
      <c r="U143" s="529"/>
      <c r="V143" s="529"/>
      <c r="W143" s="529"/>
      <c r="X143" s="530"/>
      <c r="Y143" s="457"/>
    </row>
    <row r="144" spans="1:25" s="9" customFormat="1" ht="61.5" customHeight="1" thickBot="1" x14ac:dyDescent="0.25">
      <c r="A144" s="10"/>
      <c r="B144" s="10"/>
      <c r="C144" s="2479"/>
      <c r="D144" s="2517"/>
      <c r="E144" s="2520"/>
      <c r="F144" s="2521"/>
      <c r="G144" s="2522"/>
      <c r="H144" s="2522"/>
      <c r="I144" s="2513"/>
      <c r="J144" s="534" t="s">
        <v>286</v>
      </c>
      <c r="K144" s="535" t="s">
        <v>275</v>
      </c>
      <c r="L144" s="2517"/>
      <c r="M144" s="528"/>
      <c r="N144" s="529"/>
      <c r="O144" s="529"/>
      <c r="P144" s="529"/>
      <c r="Q144" s="529"/>
      <c r="R144" s="529"/>
      <c r="S144" s="529"/>
      <c r="T144" s="529"/>
      <c r="U144" s="529"/>
      <c r="V144" s="529"/>
      <c r="W144" s="529"/>
      <c r="X144" s="530"/>
      <c r="Y144" s="457"/>
    </row>
    <row r="145" spans="1:25" s="9" customFormat="1" ht="61.5" customHeight="1" thickBot="1" x14ac:dyDescent="0.25">
      <c r="A145" s="10"/>
      <c r="B145" s="10"/>
      <c r="C145" s="2480"/>
      <c r="D145" s="2517"/>
      <c r="E145" s="2520"/>
      <c r="F145" s="2521"/>
      <c r="G145" s="2522"/>
      <c r="H145" s="2522"/>
      <c r="I145" s="2513"/>
      <c r="J145" s="534" t="s">
        <v>287</v>
      </c>
      <c r="K145" s="535" t="s">
        <v>275</v>
      </c>
      <c r="L145" s="2517"/>
      <c r="M145" s="536"/>
      <c r="N145" s="537"/>
      <c r="O145" s="537"/>
      <c r="P145" s="537"/>
      <c r="Q145" s="537"/>
      <c r="R145" s="537"/>
      <c r="S145" s="537"/>
      <c r="T145" s="537"/>
      <c r="U145" s="537"/>
      <c r="V145" s="537"/>
      <c r="W145" s="537"/>
      <c r="X145" s="538"/>
      <c r="Y145" s="457"/>
    </row>
    <row r="146" spans="1:25" s="9" customFormat="1" ht="61.5" customHeight="1" thickBot="1" x14ac:dyDescent="0.25">
      <c r="A146" s="10"/>
      <c r="B146" s="10"/>
      <c r="C146" s="2481" t="s">
        <v>1334</v>
      </c>
      <c r="D146" s="1887" t="s">
        <v>50</v>
      </c>
      <c r="E146" s="2511" t="s">
        <v>308</v>
      </c>
      <c r="F146" s="2511"/>
      <c r="G146" s="2511" t="s">
        <v>309</v>
      </c>
      <c r="H146" s="2511" t="s">
        <v>310</v>
      </c>
      <c r="I146" s="2507" t="s">
        <v>69</v>
      </c>
      <c r="J146" s="349" t="s">
        <v>312</v>
      </c>
      <c r="K146" s="329">
        <v>43159</v>
      </c>
      <c r="L146" s="1886" t="s">
        <v>311</v>
      </c>
      <c r="M146" s="420"/>
      <c r="N146" s="421"/>
      <c r="O146" s="421"/>
      <c r="P146" s="421"/>
      <c r="Q146" s="421"/>
      <c r="R146" s="421"/>
      <c r="S146" s="421"/>
      <c r="T146" s="421"/>
      <c r="U146" s="421"/>
      <c r="V146" s="421"/>
      <c r="W146" s="421"/>
      <c r="X146" s="421"/>
      <c r="Y146" s="401"/>
    </row>
    <row r="147" spans="1:25" s="9" customFormat="1" ht="61.5" customHeight="1" thickBot="1" x14ac:dyDescent="0.25">
      <c r="A147" s="10"/>
      <c r="B147" s="10"/>
      <c r="C147" s="2482"/>
      <c r="D147" s="1887"/>
      <c r="E147" s="2511"/>
      <c r="F147" s="2511"/>
      <c r="G147" s="2511"/>
      <c r="H147" s="2511"/>
      <c r="I147" s="2507"/>
      <c r="J147" s="349" t="s">
        <v>313</v>
      </c>
      <c r="K147" s="329">
        <v>43190</v>
      </c>
      <c r="L147" s="1886"/>
      <c r="M147" s="423"/>
      <c r="N147" s="424"/>
      <c r="O147" s="424"/>
      <c r="P147" s="424"/>
      <c r="Q147" s="424"/>
      <c r="R147" s="424"/>
      <c r="S147" s="424"/>
      <c r="T147" s="424"/>
      <c r="U147" s="424"/>
      <c r="V147" s="424"/>
      <c r="W147" s="424"/>
      <c r="X147" s="424"/>
      <c r="Y147" s="404"/>
    </row>
    <row r="148" spans="1:25" s="9" customFormat="1" ht="61.5" customHeight="1" thickBot="1" x14ac:dyDescent="0.25">
      <c r="A148" s="10"/>
      <c r="B148" s="10"/>
      <c r="C148" s="2482"/>
      <c r="D148" s="1887"/>
      <c r="E148" s="2511"/>
      <c r="F148" s="2511"/>
      <c r="G148" s="2511"/>
      <c r="H148" s="2511"/>
      <c r="I148" s="2507"/>
      <c r="J148" s="349" t="s">
        <v>314</v>
      </c>
      <c r="K148" s="329">
        <v>43190</v>
      </c>
      <c r="L148" s="1886"/>
      <c r="M148" s="423"/>
      <c r="N148" s="424"/>
      <c r="O148" s="424"/>
      <c r="P148" s="424"/>
      <c r="Q148" s="424"/>
      <c r="R148" s="424"/>
      <c r="S148" s="424"/>
      <c r="T148" s="424"/>
      <c r="U148" s="424"/>
      <c r="V148" s="424"/>
      <c r="W148" s="424"/>
      <c r="X148" s="424"/>
      <c r="Y148" s="404"/>
    </row>
    <row r="149" spans="1:25" s="9" customFormat="1" ht="61.5" customHeight="1" thickBot="1" x14ac:dyDescent="0.25">
      <c r="A149" s="10"/>
      <c r="B149" s="10"/>
      <c r="C149" s="2482"/>
      <c r="D149" s="1887"/>
      <c r="E149" s="2511"/>
      <c r="F149" s="2511"/>
      <c r="G149" s="2511"/>
      <c r="H149" s="2511"/>
      <c r="I149" s="2507"/>
      <c r="J149" s="349" t="s">
        <v>315</v>
      </c>
      <c r="K149" s="329">
        <v>43220</v>
      </c>
      <c r="L149" s="1886"/>
      <c r="M149" s="423"/>
      <c r="N149" s="424"/>
      <c r="O149" s="424"/>
      <c r="P149" s="424"/>
      <c r="Q149" s="424"/>
      <c r="R149" s="424"/>
      <c r="S149" s="424"/>
      <c r="T149" s="424"/>
      <c r="U149" s="424"/>
      <c r="V149" s="424"/>
      <c r="W149" s="424"/>
      <c r="X149" s="424"/>
      <c r="Y149" s="404"/>
    </row>
    <row r="150" spans="1:25" s="9" customFormat="1" ht="61.5" customHeight="1" thickBot="1" x14ac:dyDescent="0.25">
      <c r="A150" s="10"/>
      <c r="B150" s="10"/>
      <c r="C150" s="2482"/>
      <c r="D150" s="1887" t="s">
        <v>50</v>
      </c>
      <c r="E150" s="2511" t="s">
        <v>316</v>
      </c>
      <c r="F150" s="2515"/>
      <c r="G150" s="2516" t="s">
        <v>317</v>
      </c>
      <c r="H150" s="2516" t="s">
        <v>318</v>
      </c>
      <c r="I150" s="2507" t="s">
        <v>69</v>
      </c>
      <c r="J150" s="349" t="s">
        <v>320</v>
      </c>
      <c r="K150" s="329">
        <v>43159</v>
      </c>
      <c r="L150" s="2508" t="s">
        <v>319</v>
      </c>
      <c r="M150" s="423"/>
      <c r="N150" s="424"/>
      <c r="O150" s="424"/>
      <c r="P150" s="424"/>
      <c r="Q150" s="424"/>
      <c r="R150" s="424"/>
      <c r="S150" s="424"/>
      <c r="T150" s="424"/>
      <c r="U150" s="424"/>
      <c r="V150" s="424"/>
      <c r="W150" s="424"/>
      <c r="X150" s="424"/>
      <c r="Y150" s="404"/>
    </row>
    <row r="151" spans="1:25" s="9" customFormat="1" ht="61.5" customHeight="1" thickBot="1" x14ac:dyDescent="0.25">
      <c r="A151" s="10"/>
      <c r="B151" s="10"/>
      <c r="C151" s="2482"/>
      <c r="D151" s="1887"/>
      <c r="E151" s="2511"/>
      <c r="F151" s="2515"/>
      <c r="G151" s="2516"/>
      <c r="H151" s="2516"/>
      <c r="I151" s="2507"/>
      <c r="J151" s="349" t="s">
        <v>321</v>
      </c>
      <c r="K151" s="329">
        <v>43190</v>
      </c>
      <c r="L151" s="2509"/>
      <c r="M151" s="423"/>
      <c r="N151" s="424"/>
      <c r="O151" s="424"/>
      <c r="P151" s="424"/>
      <c r="Q151" s="424"/>
      <c r="R151" s="424"/>
      <c r="S151" s="424"/>
      <c r="T151" s="424"/>
      <c r="U151" s="424"/>
      <c r="V151" s="424"/>
      <c r="W151" s="424"/>
      <c r="X151" s="424"/>
      <c r="Y151" s="404"/>
    </row>
    <row r="152" spans="1:25" s="9" customFormat="1" ht="61.5" customHeight="1" thickBot="1" x14ac:dyDescent="0.25">
      <c r="A152" s="10"/>
      <c r="B152" s="10"/>
      <c r="C152" s="2482"/>
      <c r="D152" s="1887"/>
      <c r="E152" s="2511"/>
      <c r="F152" s="2515"/>
      <c r="G152" s="2516"/>
      <c r="H152" s="2516"/>
      <c r="I152" s="2507"/>
      <c r="J152" s="349" t="s">
        <v>322</v>
      </c>
      <c r="K152" s="329">
        <v>43220</v>
      </c>
      <c r="L152" s="2509"/>
      <c r="M152" s="423"/>
      <c r="N152" s="424"/>
      <c r="O152" s="424"/>
      <c r="P152" s="424"/>
      <c r="Q152" s="424"/>
      <c r="R152" s="424"/>
      <c r="S152" s="424"/>
      <c r="T152" s="424"/>
      <c r="U152" s="424"/>
      <c r="V152" s="424"/>
      <c r="W152" s="424"/>
      <c r="X152" s="424"/>
      <c r="Y152" s="404"/>
    </row>
    <row r="153" spans="1:25" s="9" customFormat="1" ht="61.5" customHeight="1" thickBot="1" x14ac:dyDescent="0.25">
      <c r="A153" s="10"/>
      <c r="B153" s="10"/>
      <c r="C153" s="2483"/>
      <c r="D153" s="1887"/>
      <c r="E153" s="2511"/>
      <c r="F153" s="2515"/>
      <c r="G153" s="2516"/>
      <c r="H153" s="2516"/>
      <c r="I153" s="2507"/>
      <c r="J153" s="349" t="s">
        <v>323</v>
      </c>
      <c r="K153" s="329">
        <v>43159</v>
      </c>
      <c r="L153" s="2510"/>
      <c r="M153" s="423"/>
      <c r="N153" s="424"/>
      <c r="O153" s="424"/>
      <c r="P153" s="424"/>
      <c r="Q153" s="424"/>
      <c r="R153" s="424"/>
      <c r="S153" s="424"/>
      <c r="T153" s="424"/>
      <c r="U153" s="424"/>
      <c r="V153" s="424"/>
      <c r="W153" s="424"/>
      <c r="X153" s="424"/>
      <c r="Y153" s="404"/>
    </row>
    <row r="154" spans="1:25" s="9" customFormat="1" ht="72" customHeight="1" thickBot="1" x14ac:dyDescent="0.25">
      <c r="A154" s="10"/>
      <c r="B154" s="10"/>
      <c r="C154" s="2501" t="s">
        <v>1303</v>
      </c>
      <c r="D154" s="2502" t="s">
        <v>50</v>
      </c>
      <c r="E154" s="2502" t="s">
        <v>288</v>
      </c>
      <c r="F154" s="2503" t="s">
        <v>289</v>
      </c>
      <c r="G154" s="2504" t="s">
        <v>290</v>
      </c>
      <c r="H154" s="2504" t="s">
        <v>291</v>
      </c>
      <c r="I154" s="2504" t="s">
        <v>70</v>
      </c>
      <c r="J154" s="356" t="s">
        <v>293</v>
      </c>
      <c r="K154" s="305">
        <v>43465</v>
      </c>
      <c r="L154" s="2505" t="s">
        <v>292</v>
      </c>
      <c r="M154" s="458"/>
      <c r="N154" s="459"/>
      <c r="O154" s="459"/>
      <c r="P154" s="459"/>
      <c r="Q154" s="459"/>
      <c r="R154" s="459"/>
      <c r="S154" s="459"/>
      <c r="T154" s="459"/>
      <c r="U154" s="459"/>
      <c r="V154" s="459"/>
      <c r="W154" s="459"/>
      <c r="X154" s="459"/>
      <c r="Y154" s="404"/>
    </row>
    <row r="155" spans="1:25" s="9" customFormat="1" ht="29.25" customHeight="1" thickBot="1" x14ac:dyDescent="0.25">
      <c r="A155" s="10"/>
      <c r="B155" s="10"/>
      <c r="C155" s="2501"/>
      <c r="D155" s="2502"/>
      <c r="E155" s="2502"/>
      <c r="F155" s="2503"/>
      <c r="G155" s="2504"/>
      <c r="H155" s="2504"/>
      <c r="I155" s="2504"/>
      <c r="J155" s="356" t="s">
        <v>294</v>
      </c>
      <c r="K155" s="305">
        <v>43465</v>
      </c>
      <c r="L155" s="1874"/>
      <c r="M155" s="458"/>
      <c r="N155" s="459"/>
      <c r="O155" s="459"/>
      <c r="P155" s="459"/>
      <c r="Q155" s="459"/>
      <c r="R155" s="459"/>
      <c r="S155" s="459"/>
      <c r="T155" s="459"/>
      <c r="U155" s="459"/>
      <c r="V155" s="459"/>
      <c r="W155" s="459"/>
      <c r="X155" s="459"/>
      <c r="Y155" s="404"/>
    </row>
    <row r="156" spans="1:25" s="9" customFormat="1" ht="22.5" customHeight="1" thickBot="1" x14ac:dyDescent="0.25">
      <c r="A156" s="10"/>
      <c r="B156" s="10"/>
      <c r="C156" s="2501"/>
      <c r="D156" s="2502"/>
      <c r="E156" s="2502"/>
      <c r="F156" s="2503"/>
      <c r="G156" s="2504"/>
      <c r="H156" s="2504"/>
      <c r="I156" s="2504"/>
      <c r="J156" s="356" t="s">
        <v>295</v>
      </c>
      <c r="K156" s="305">
        <v>43465</v>
      </c>
      <c r="L156" s="1874"/>
      <c r="M156" s="458"/>
      <c r="N156" s="459"/>
      <c r="O156" s="459"/>
      <c r="P156" s="459"/>
      <c r="Q156" s="459"/>
      <c r="R156" s="459"/>
      <c r="S156" s="459"/>
      <c r="T156" s="459"/>
      <c r="U156" s="459"/>
      <c r="V156" s="459"/>
      <c r="W156" s="459"/>
      <c r="X156" s="459"/>
      <c r="Y156" s="404"/>
    </row>
    <row r="157" spans="1:25" s="9" customFormat="1" ht="40.5" customHeight="1" thickBot="1" x14ac:dyDescent="0.35">
      <c r="A157" s="10"/>
      <c r="B157" s="10"/>
      <c r="C157" s="2501"/>
      <c r="D157" s="2502"/>
      <c r="E157" s="2502" t="s">
        <v>296</v>
      </c>
      <c r="F157" s="2504" t="s">
        <v>297</v>
      </c>
      <c r="G157" s="2504" t="s">
        <v>298</v>
      </c>
      <c r="H157" s="2504" t="s">
        <v>299</v>
      </c>
      <c r="I157" s="2504"/>
      <c r="J157" s="357" t="s">
        <v>300</v>
      </c>
      <c r="K157" s="305"/>
      <c r="L157" s="1875" t="s">
        <v>302</v>
      </c>
      <c r="M157" s="458"/>
      <c r="N157" s="459"/>
      <c r="O157" s="459"/>
      <c r="P157" s="459"/>
      <c r="Q157" s="459"/>
      <c r="R157" s="459"/>
      <c r="S157" s="459"/>
      <c r="T157" s="459"/>
      <c r="U157" s="459"/>
      <c r="V157" s="459"/>
      <c r="W157" s="459"/>
      <c r="X157" s="459"/>
      <c r="Y157" s="404"/>
    </row>
    <row r="158" spans="1:25" s="9" customFormat="1" ht="40.5" customHeight="1" thickBot="1" x14ac:dyDescent="0.35">
      <c r="A158" s="10"/>
      <c r="B158" s="10"/>
      <c r="C158" s="2501"/>
      <c r="D158" s="2502"/>
      <c r="E158" s="2502"/>
      <c r="F158" s="2504"/>
      <c r="G158" s="2504"/>
      <c r="H158" s="2504"/>
      <c r="I158" s="2504"/>
      <c r="J158" s="357" t="s">
        <v>301</v>
      </c>
      <c r="K158" s="305"/>
      <c r="L158" s="2506"/>
      <c r="M158" s="458"/>
      <c r="N158" s="459"/>
      <c r="O158" s="459"/>
      <c r="P158" s="459"/>
      <c r="Q158" s="459"/>
      <c r="R158" s="459"/>
      <c r="S158" s="459"/>
      <c r="T158" s="459"/>
      <c r="U158" s="459"/>
      <c r="V158" s="459"/>
      <c r="W158" s="459"/>
      <c r="X158" s="459"/>
      <c r="Y158" s="404"/>
    </row>
    <row r="159" spans="1:25" s="9" customFormat="1" ht="54.75" customHeight="1" thickBot="1" x14ac:dyDescent="0.35">
      <c r="A159" s="10"/>
      <c r="B159" s="10"/>
      <c r="C159" s="1906" t="s">
        <v>1413</v>
      </c>
      <c r="D159" s="1887" t="s">
        <v>50</v>
      </c>
      <c r="E159" s="2498" t="s">
        <v>1048</v>
      </c>
      <c r="F159" s="2499">
        <v>1</v>
      </c>
      <c r="G159" s="2498" t="s">
        <v>1049</v>
      </c>
      <c r="H159" s="2498" t="s">
        <v>1050</v>
      </c>
      <c r="I159" s="2500" t="s">
        <v>1051</v>
      </c>
      <c r="J159" s="512" t="s">
        <v>1053</v>
      </c>
      <c r="K159" s="329">
        <v>43465</v>
      </c>
      <c r="L159" s="2481" t="s">
        <v>1052</v>
      </c>
      <c r="M159" s="513"/>
      <c r="N159" s="514" t="s">
        <v>4</v>
      </c>
      <c r="O159" s="514" t="s">
        <v>4</v>
      </c>
      <c r="P159" s="514" t="s">
        <v>4</v>
      </c>
      <c r="Q159" s="514"/>
      <c r="R159" s="514"/>
      <c r="S159" s="514"/>
      <c r="T159" s="514"/>
      <c r="U159" s="514"/>
      <c r="V159" s="514"/>
      <c r="W159" s="514"/>
      <c r="X159" s="514"/>
      <c r="Y159" s="404"/>
    </row>
    <row r="160" spans="1:25" s="9" customFormat="1" ht="60.75" customHeight="1" thickBot="1" x14ac:dyDescent="0.35">
      <c r="A160" s="10"/>
      <c r="B160" s="10"/>
      <c r="C160" s="1907"/>
      <c r="D160" s="1887"/>
      <c r="E160" s="2498"/>
      <c r="F160" s="2498"/>
      <c r="G160" s="2498"/>
      <c r="H160" s="2498"/>
      <c r="I160" s="2500"/>
      <c r="J160" s="512" t="s">
        <v>1054</v>
      </c>
      <c r="K160" s="329">
        <v>43465</v>
      </c>
      <c r="L160" s="2482"/>
      <c r="M160" s="513"/>
      <c r="N160" s="514" t="s">
        <v>4</v>
      </c>
      <c r="O160" s="514" t="s">
        <v>4</v>
      </c>
      <c r="P160" s="514" t="s">
        <v>4</v>
      </c>
      <c r="Q160" s="514" t="s">
        <v>4</v>
      </c>
      <c r="R160" s="514" t="s">
        <v>4</v>
      </c>
      <c r="S160" s="514" t="s">
        <v>4</v>
      </c>
      <c r="T160" s="514" t="s">
        <v>4</v>
      </c>
      <c r="U160" s="514" t="s">
        <v>4</v>
      </c>
      <c r="V160" s="514" t="s">
        <v>4</v>
      </c>
      <c r="W160" s="514" t="s">
        <v>4</v>
      </c>
      <c r="X160" s="514" t="s">
        <v>4</v>
      </c>
      <c r="Y160" s="404"/>
    </row>
    <row r="161" spans="1:25" s="9" customFormat="1" ht="90" customHeight="1" thickBot="1" x14ac:dyDescent="0.35">
      <c r="A161" s="10"/>
      <c r="B161" s="10"/>
      <c r="C161" s="1907"/>
      <c r="D161" s="1887"/>
      <c r="E161" s="2498"/>
      <c r="F161" s="2498"/>
      <c r="G161" s="2498"/>
      <c r="H161" s="2498"/>
      <c r="I161" s="2500"/>
      <c r="J161" s="512" t="s">
        <v>1055</v>
      </c>
      <c r="K161" s="329">
        <v>43465</v>
      </c>
      <c r="L161" s="2483"/>
      <c r="M161" s="513"/>
      <c r="N161" s="514" t="s">
        <v>4</v>
      </c>
      <c r="O161" s="514" t="s">
        <v>4</v>
      </c>
      <c r="P161" s="514"/>
      <c r="Q161" s="514"/>
      <c r="R161" s="514" t="s">
        <v>4</v>
      </c>
      <c r="S161" s="514" t="s">
        <v>4</v>
      </c>
      <c r="T161" s="514"/>
      <c r="U161" s="514"/>
      <c r="V161" s="514"/>
      <c r="W161" s="514" t="s">
        <v>4</v>
      </c>
      <c r="X161" s="514" t="s">
        <v>4</v>
      </c>
      <c r="Y161" s="404"/>
    </row>
    <row r="162" spans="1:25" s="9" customFormat="1" ht="160.5" customHeight="1" thickBot="1" x14ac:dyDescent="0.35">
      <c r="A162" s="10"/>
      <c r="B162" s="10"/>
      <c r="C162" s="1907"/>
      <c r="D162" s="1887" t="s">
        <v>50</v>
      </c>
      <c r="E162" s="1887" t="s">
        <v>1056</v>
      </c>
      <c r="F162" s="2486">
        <v>1</v>
      </c>
      <c r="G162" s="1887" t="s">
        <v>1049</v>
      </c>
      <c r="H162" s="1887" t="s">
        <v>1057</v>
      </c>
      <c r="I162" s="1887" t="s">
        <v>1051</v>
      </c>
      <c r="J162" s="512" t="s">
        <v>1383</v>
      </c>
      <c r="K162" s="329">
        <v>43465</v>
      </c>
      <c r="L162" s="1887" t="s">
        <v>1052</v>
      </c>
      <c r="M162" s="513"/>
      <c r="N162" s="514" t="s">
        <v>4</v>
      </c>
      <c r="O162" s="514" t="s">
        <v>4</v>
      </c>
      <c r="P162" s="514"/>
      <c r="Q162" s="514"/>
      <c r="R162" s="514" t="s">
        <v>4</v>
      </c>
      <c r="S162" s="514" t="s">
        <v>4</v>
      </c>
      <c r="T162" s="514"/>
      <c r="U162" s="514"/>
      <c r="V162" s="514"/>
      <c r="W162" s="514" t="s">
        <v>4</v>
      </c>
      <c r="X162" s="514" t="s">
        <v>4</v>
      </c>
      <c r="Y162" s="404"/>
    </row>
    <row r="163" spans="1:25" s="9" customFormat="1" ht="94.5" customHeight="1" thickBot="1" x14ac:dyDescent="0.25">
      <c r="A163" s="10"/>
      <c r="B163" s="10"/>
      <c r="C163" s="1907"/>
      <c r="D163" s="1887"/>
      <c r="E163" s="1887"/>
      <c r="F163" s="1887"/>
      <c r="G163" s="1887"/>
      <c r="H163" s="1887"/>
      <c r="I163" s="1887"/>
      <c r="J163" s="515" t="s">
        <v>1058</v>
      </c>
      <c r="K163" s="329">
        <v>43465</v>
      </c>
      <c r="L163" s="1887"/>
      <c r="M163" s="513"/>
      <c r="N163" s="514" t="s">
        <v>4</v>
      </c>
      <c r="O163" s="514" t="s">
        <v>4</v>
      </c>
      <c r="P163" s="514" t="s">
        <v>4</v>
      </c>
      <c r="Q163" s="514" t="s">
        <v>4</v>
      </c>
      <c r="R163" s="514" t="s">
        <v>4</v>
      </c>
      <c r="S163" s="514" t="s">
        <v>4</v>
      </c>
      <c r="T163" s="514" t="s">
        <v>4</v>
      </c>
      <c r="U163" s="514" t="s">
        <v>4</v>
      </c>
      <c r="V163" s="514" t="s">
        <v>4</v>
      </c>
      <c r="W163" s="514" t="s">
        <v>4</v>
      </c>
      <c r="X163" s="514" t="s">
        <v>4</v>
      </c>
      <c r="Y163" s="404"/>
    </row>
    <row r="164" spans="1:25" s="9" customFormat="1" ht="45" customHeight="1" thickBot="1" x14ac:dyDescent="0.35">
      <c r="A164" s="10"/>
      <c r="B164" s="10"/>
      <c r="C164" s="1907"/>
      <c r="D164" s="331" t="s">
        <v>50</v>
      </c>
      <c r="E164" s="331" t="s">
        <v>1059</v>
      </c>
      <c r="F164" s="328">
        <v>1</v>
      </c>
      <c r="G164" s="331" t="s">
        <v>1060</v>
      </c>
      <c r="H164" s="331" t="s">
        <v>1061</v>
      </c>
      <c r="I164" s="331" t="s">
        <v>1051</v>
      </c>
      <c r="J164" s="512" t="s">
        <v>1063</v>
      </c>
      <c r="K164" s="329">
        <v>43465</v>
      </c>
      <c r="L164" s="331" t="s">
        <v>1062</v>
      </c>
      <c r="M164" s="423"/>
      <c r="N164" s="424"/>
      <c r="O164" s="424"/>
      <c r="P164" s="424"/>
      <c r="Q164" s="424"/>
      <c r="R164" s="424"/>
      <c r="S164" s="424"/>
      <c r="T164" s="424"/>
      <c r="U164" s="424"/>
      <c r="V164" s="424"/>
      <c r="W164" s="424"/>
      <c r="X164" s="424"/>
      <c r="Y164" s="404"/>
    </row>
    <row r="165" spans="1:25" s="9" customFormat="1" ht="56.25" customHeight="1" thickBot="1" x14ac:dyDescent="0.35">
      <c r="A165" s="10"/>
      <c r="B165" s="10"/>
      <c r="C165" s="1907"/>
      <c r="D165" s="1887" t="s">
        <v>50</v>
      </c>
      <c r="E165" s="1887" t="s">
        <v>1064</v>
      </c>
      <c r="F165" s="2497">
        <v>1</v>
      </c>
      <c r="G165" s="1887" t="s">
        <v>1065</v>
      </c>
      <c r="H165" s="1887" t="s">
        <v>1066</v>
      </c>
      <c r="I165" s="1887" t="s">
        <v>1051</v>
      </c>
      <c r="J165" s="512" t="s">
        <v>1067</v>
      </c>
      <c r="K165" s="329">
        <v>43465</v>
      </c>
      <c r="L165" s="1887" t="s">
        <v>1052</v>
      </c>
      <c r="M165" s="513"/>
      <c r="N165" s="514" t="s">
        <v>4</v>
      </c>
      <c r="O165" s="514" t="s">
        <v>4</v>
      </c>
      <c r="P165" s="514" t="s">
        <v>4</v>
      </c>
      <c r="Q165" s="514" t="s">
        <v>4</v>
      </c>
      <c r="R165" s="514" t="s">
        <v>4</v>
      </c>
      <c r="S165" s="514" t="s">
        <v>4</v>
      </c>
      <c r="T165" s="514"/>
      <c r="U165" s="514"/>
      <c r="V165" s="514"/>
      <c r="W165" s="514"/>
      <c r="X165" s="514"/>
      <c r="Y165" s="404"/>
    </row>
    <row r="166" spans="1:25" s="9" customFormat="1" ht="78" customHeight="1" thickBot="1" x14ac:dyDescent="0.25">
      <c r="A166" s="10"/>
      <c r="B166" s="10"/>
      <c r="C166" s="1907"/>
      <c r="D166" s="1887"/>
      <c r="E166" s="1887"/>
      <c r="F166" s="2497"/>
      <c r="G166" s="1887"/>
      <c r="H166" s="1887"/>
      <c r="I166" s="1887"/>
      <c r="J166" s="516" t="s">
        <v>1384</v>
      </c>
      <c r="K166" s="329"/>
      <c r="L166" s="1887"/>
      <c r="M166" s="513"/>
      <c r="N166" s="514" t="s">
        <v>4</v>
      </c>
      <c r="O166" s="514" t="s">
        <v>4</v>
      </c>
      <c r="P166" s="514" t="s">
        <v>4</v>
      </c>
      <c r="Q166" s="514" t="s">
        <v>4</v>
      </c>
      <c r="R166" s="514" t="s">
        <v>4</v>
      </c>
      <c r="S166" s="514" t="s">
        <v>4</v>
      </c>
      <c r="T166" s="514"/>
      <c r="U166" s="514"/>
      <c r="V166" s="514"/>
      <c r="W166" s="514"/>
      <c r="X166" s="514"/>
      <c r="Y166" s="404"/>
    </row>
    <row r="167" spans="1:25" ht="76.5" customHeight="1" thickBot="1" x14ac:dyDescent="0.3">
      <c r="C167" s="1907"/>
      <c r="D167" s="1887"/>
      <c r="E167" s="1887"/>
      <c r="F167" s="2497"/>
      <c r="G167" s="1887"/>
      <c r="H167" s="1887"/>
      <c r="I167" s="1887"/>
      <c r="J167" s="516" t="s">
        <v>1385</v>
      </c>
      <c r="K167" s="329">
        <v>43465</v>
      </c>
      <c r="L167" s="1887"/>
      <c r="M167" s="513"/>
      <c r="N167" s="514"/>
      <c r="O167" s="514"/>
      <c r="P167" s="514"/>
      <c r="Q167" s="514"/>
      <c r="R167" s="514"/>
      <c r="S167" s="514"/>
      <c r="T167" s="514" t="s">
        <v>4</v>
      </c>
      <c r="U167" s="514" t="s">
        <v>4</v>
      </c>
      <c r="V167" s="514" t="s">
        <v>4</v>
      </c>
      <c r="W167" s="514" t="s">
        <v>4</v>
      </c>
      <c r="X167" s="514" t="s">
        <v>4</v>
      </c>
      <c r="Y167" s="409"/>
    </row>
    <row r="168" spans="1:25" ht="37.5" customHeight="1" thickBot="1" x14ac:dyDescent="0.35">
      <c r="C168" s="1907"/>
      <c r="D168" s="1887" t="s">
        <v>50</v>
      </c>
      <c r="E168" s="1887" t="s">
        <v>1068</v>
      </c>
      <c r="F168" s="2486">
        <v>1</v>
      </c>
      <c r="G168" s="1887" t="s">
        <v>1069</v>
      </c>
      <c r="H168" s="1887" t="s">
        <v>1387</v>
      </c>
      <c r="I168" s="1887" t="s">
        <v>1051</v>
      </c>
      <c r="J168" s="512" t="s">
        <v>1389</v>
      </c>
      <c r="K168" s="329">
        <v>43465</v>
      </c>
      <c r="L168" s="1887" t="s">
        <v>1052</v>
      </c>
      <c r="M168" s="513"/>
      <c r="N168" s="514"/>
      <c r="O168" s="514" t="s">
        <v>4</v>
      </c>
      <c r="P168" s="514" t="s">
        <v>4</v>
      </c>
      <c r="Q168" s="514" t="s">
        <v>4</v>
      </c>
      <c r="R168" s="514" t="s">
        <v>4</v>
      </c>
      <c r="S168" s="514" t="s">
        <v>4</v>
      </c>
      <c r="T168" s="514" t="s">
        <v>4</v>
      </c>
      <c r="U168" s="514" t="s">
        <v>4</v>
      </c>
      <c r="V168" s="514" t="s">
        <v>4</v>
      </c>
      <c r="W168" s="514" t="s">
        <v>4</v>
      </c>
      <c r="X168" s="514" t="s">
        <v>4</v>
      </c>
      <c r="Y168" s="409"/>
    </row>
    <row r="169" spans="1:25" ht="49.5" customHeight="1" thickBot="1" x14ac:dyDescent="0.3">
      <c r="C169" s="1907"/>
      <c r="D169" s="1887"/>
      <c r="E169" s="1887"/>
      <c r="F169" s="1887"/>
      <c r="G169" s="1887"/>
      <c r="H169" s="1887"/>
      <c r="I169" s="1887"/>
      <c r="J169" s="515" t="s">
        <v>1070</v>
      </c>
      <c r="K169" s="329">
        <v>43465</v>
      </c>
      <c r="L169" s="1887"/>
      <c r="M169" s="513"/>
      <c r="N169" s="514"/>
      <c r="O169" s="514" t="s">
        <v>4</v>
      </c>
      <c r="P169" s="514" t="s">
        <v>4</v>
      </c>
      <c r="Q169" s="514" t="s">
        <v>4</v>
      </c>
      <c r="R169" s="514" t="s">
        <v>4</v>
      </c>
      <c r="S169" s="514" t="s">
        <v>4</v>
      </c>
      <c r="T169" s="514" t="s">
        <v>4</v>
      </c>
      <c r="U169" s="514" t="s">
        <v>4</v>
      </c>
      <c r="V169" s="514" t="s">
        <v>4</v>
      </c>
      <c r="W169" s="514" t="s">
        <v>4</v>
      </c>
      <c r="X169" s="514" t="s">
        <v>4</v>
      </c>
      <c r="Y169" s="409"/>
    </row>
    <row r="170" spans="1:25" ht="49.5" customHeight="1" thickBot="1" x14ac:dyDescent="0.3">
      <c r="C170" s="1907"/>
      <c r="D170" s="2481" t="s">
        <v>50</v>
      </c>
      <c r="E170" s="2481" t="s">
        <v>1071</v>
      </c>
      <c r="F170" s="2566">
        <v>1</v>
      </c>
      <c r="G170" s="2481" t="s">
        <v>1386</v>
      </c>
      <c r="H170" s="2481" t="s">
        <v>1388</v>
      </c>
      <c r="I170" s="2481" t="s">
        <v>1051</v>
      </c>
      <c r="J170" s="515" t="s">
        <v>1390</v>
      </c>
      <c r="K170" s="329"/>
      <c r="L170" s="331"/>
      <c r="M170" s="513" t="s">
        <v>4</v>
      </c>
      <c r="N170" s="514" t="s">
        <v>4</v>
      </c>
      <c r="O170" s="514" t="s">
        <v>4</v>
      </c>
      <c r="P170" s="514" t="s">
        <v>4</v>
      </c>
      <c r="Q170" s="514" t="s">
        <v>4</v>
      </c>
      <c r="R170" s="514" t="s">
        <v>4</v>
      </c>
      <c r="S170" s="514" t="s">
        <v>4</v>
      </c>
      <c r="T170" s="514" t="s">
        <v>4</v>
      </c>
      <c r="U170" s="514" t="s">
        <v>4</v>
      </c>
      <c r="V170" s="514" t="s">
        <v>4</v>
      </c>
      <c r="W170" s="514" t="s">
        <v>4</v>
      </c>
      <c r="X170" s="514" t="s">
        <v>4</v>
      </c>
      <c r="Y170" s="409"/>
    </row>
    <row r="171" spans="1:25" ht="49.5" customHeight="1" thickBot="1" x14ac:dyDescent="0.3">
      <c r="C171" s="1907"/>
      <c r="D171" s="2482"/>
      <c r="E171" s="2482"/>
      <c r="F171" s="2567"/>
      <c r="G171" s="2482"/>
      <c r="H171" s="2482"/>
      <c r="I171" s="2482"/>
      <c r="J171" s="515" t="s">
        <v>1391</v>
      </c>
      <c r="K171" s="329"/>
      <c r="L171" s="331"/>
      <c r="M171" s="513" t="s">
        <v>4</v>
      </c>
      <c r="N171" s="514" t="s">
        <v>4</v>
      </c>
      <c r="O171" s="514" t="s">
        <v>4</v>
      </c>
      <c r="P171" s="514" t="s">
        <v>4</v>
      </c>
      <c r="Q171" s="514" t="s">
        <v>4</v>
      </c>
      <c r="R171" s="514" t="s">
        <v>4</v>
      </c>
      <c r="S171" s="514" t="s">
        <v>4</v>
      </c>
      <c r="T171" s="514" t="s">
        <v>4</v>
      </c>
      <c r="U171" s="514" t="s">
        <v>4</v>
      </c>
      <c r="V171" s="514" t="s">
        <v>4</v>
      </c>
      <c r="W171" s="514" t="s">
        <v>4</v>
      </c>
      <c r="X171" s="514" t="s">
        <v>4</v>
      </c>
      <c r="Y171" s="409"/>
    </row>
    <row r="172" spans="1:25" ht="75.75" customHeight="1" thickBot="1" x14ac:dyDescent="0.3">
      <c r="C172" s="1907"/>
      <c r="D172" s="2483"/>
      <c r="E172" s="2483"/>
      <c r="F172" s="2568"/>
      <c r="G172" s="2483"/>
      <c r="H172" s="2483"/>
      <c r="I172" s="2483"/>
      <c r="J172" s="515" t="s">
        <v>1392</v>
      </c>
      <c r="K172" s="329">
        <v>42916</v>
      </c>
      <c r="L172" s="331" t="s">
        <v>1072</v>
      </c>
      <c r="M172" s="513" t="s">
        <v>4</v>
      </c>
      <c r="N172" s="514" t="s">
        <v>4</v>
      </c>
      <c r="O172" s="514" t="s">
        <v>4</v>
      </c>
      <c r="P172" s="514" t="s">
        <v>4</v>
      </c>
      <c r="Q172" s="514" t="s">
        <v>4</v>
      </c>
      <c r="R172" s="514" t="s">
        <v>4</v>
      </c>
      <c r="S172" s="514" t="s">
        <v>4</v>
      </c>
      <c r="T172" s="514" t="s">
        <v>4</v>
      </c>
      <c r="U172" s="514" t="s">
        <v>4</v>
      </c>
      <c r="V172" s="514" t="s">
        <v>4</v>
      </c>
      <c r="W172" s="514" t="s">
        <v>4</v>
      </c>
      <c r="X172" s="514" t="s">
        <v>4</v>
      </c>
      <c r="Y172" s="409"/>
    </row>
    <row r="173" spans="1:25" ht="74.25" customHeight="1" thickBot="1" x14ac:dyDescent="0.3">
      <c r="C173" s="1907"/>
      <c r="D173" s="1887" t="s">
        <v>50</v>
      </c>
      <c r="E173" s="1887" t="s">
        <v>1073</v>
      </c>
      <c r="F173" s="1887" t="s">
        <v>1074</v>
      </c>
      <c r="G173" s="1887" t="s">
        <v>1075</v>
      </c>
      <c r="H173" s="1887" t="s">
        <v>1076</v>
      </c>
      <c r="I173" s="1887" t="s">
        <v>1051</v>
      </c>
      <c r="J173" s="515" t="s">
        <v>1078</v>
      </c>
      <c r="K173" s="329">
        <v>43159</v>
      </c>
      <c r="L173" s="1887" t="s">
        <v>1077</v>
      </c>
      <c r="M173" s="513"/>
      <c r="N173" s="514"/>
      <c r="O173" s="514" t="s">
        <v>4</v>
      </c>
      <c r="P173" s="514"/>
      <c r="Q173" s="514"/>
      <c r="R173" s="514"/>
      <c r="S173" s="514"/>
      <c r="T173" s="514"/>
      <c r="U173" s="514"/>
      <c r="V173" s="514"/>
      <c r="W173" s="514"/>
      <c r="X173" s="514"/>
      <c r="Y173" s="409"/>
    </row>
    <row r="174" spans="1:25" ht="13.5" customHeight="1" thickBot="1" x14ac:dyDescent="0.3">
      <c r="C174" s="1907"/>
      <c r="D174" s="1887"/>
      <c r="E174" s="1887"/>
      <c r="F174" s="1887"/>
      <c r="G174" s="1887"/>
      <c r="H174" s="1887"/>
      <c r="I174" s="1887"/>
      <c r="J174" s="515" t="s">
        <v>1079</v>
      </c>
      <c r="K174" s="329">
        <v>43190</v>
      </c>
      <c r="L174" s="1887"/>
      <c r="M174" s="513"/>
      <c r="N174" s="514"/>
      <c r="O174" s="514"/>
      <c r="P174" s="514"/>
      <c r="Q174" s="514"/>
      <c r="R174" s="514"/>
      <c r="S174" s="514" t="s">
        <v>4</v>
      </c>
      <c r="T174" s="514"/>
      <c r="U174" s="514"/>
      <c r="V174" s="514"/>
      <c r="W174" s="514"/>
      <c r="X174" s="514"/>
      <c r="Y174" s="409"/>
    </row>
    <row r="175" spans="1:25" ht="9.75" hidden="1" customHeight="1" x14ac:dyDescent="0.25">
      <c r="C175" s="1907"/>
      <c r="D175" s="1887"/>
      <c r="E175" s="1887"/>
      <c r="F175" s="1887"/>
      <c r="G175" s="1887"/>
      <c r="H175" s="1887"/>
      <c r="I175" s="1887"/>
      <c r="J175" s="515" t="s">
        <v>1080</v>
      </c>
      <c r="K175" s="517" t="s">
        <v>1081</v>
      </c>
      <c r="L175" s="1887"/>
      <c r="M175" s="513"/>
      <c r="N175" s="514"/>
      <c r="O175" s="514"/>
      <c r="P175" s="514"/>
      <c r="Q175" s="514"/>
      <c r="R175" s="514"/>
      <c r="S175" s="514"/>
      <c r="T175" s="514"/>
      <c r="U175" s="514"/>
      <c r="V175" s="514"/>
      <c r="W175" s="514"/>
      <c r="X175" s="514"/>
      <c r="Y175" s="409"/>
    </row>
    <row r="176" spans="1:25" s="9" customFormat="1" ht="54.75" customHeight="1" thickBot="1" x14ac:dyDescent="0.25">
      <c r="A176" s="10"/>
      <c r="B176" s="10"/>
      <c r="C176" s="1907"/>
      <c r="D176" s="1887" t="s">
        <v>50</v>
      </c>
      <c r="E176" s="1887" t="s">
        <v>1082</v>
      </c>
      <c r="F176" s="2486">
        <v>0.9</v>
      </c>
      <c r="G176" s="1887" t="s">
        <v>1083</v>
      </c>
      <c r="H176" s="1887" t="s">
        <v>1084</v>
      </c>
      <c r="I176" s="1887" t="s">
        <v>1051</v>
      </c>
      <c r="J176" s="515" t="s">
        <v>1085</v>
      </c>
      <c r="K176" s="517">
        <v>43465</v>
      </c>
      <c r="L176" s="1887" t="s">
        <v>1052</v>
      </c>
      <c r="M176" s="513"/>
      <c r="N176" s="514" t="s">
        <v>4</v>
      </c>
      <c r="O176" s="514" t="s">
        <v>4</v>
      </c>
      <c r="P176" s="514" t="s">
        <v>4</v>
      </c>
      <c r="Q176" s="514" t="s">
        <v>4</v>
      </c>
      <c r="R176" s="514" t="s">
        <v>4</v>
      </c>
      <c r="S176" s="514" t="s">
        <v>4</v>
      </c>
      <c r="T176" s="514" t="s">
        <v>4</v>
      </c>
      <c r="U176" s="514" t="s">
        <v>4</v>
      </c>
      <c r="V176" s="514" t="s">
        <v>4</v>
      </c>
      <c r="W176" s="514" t="s">
        <v>4</v>
      </c>
      <c r="X176" s="514" t="s">
        <v>4</v>
      </c>
      <c r="Y176" s="404"/>
    </row>
    <row r="177" spans="1:25" s="9" customFormat="1" ht="33" customHeight="1" thickBot="1" x14ac:dyDescent="0.25">
      <c r="A177" s="10"/>
      <c r="B177" s="10"/>
      <c r="C177" s="1907"/>
      <c r="D177" s="1887"/>
      <c r="E177" s="1887"/>
      <c r="F177" s="2486"/>
      <c r="G177" s="1887"/>
      <c r="H177" s="1887"/>
      <c r="I177" s="1887"/>
      <c r="J177" s="515" t="s">
        <v>1086</v>
      </c>
      <c r="K177" s="517">
        <v>43465</v>
      </c>
      <c r="L177" s="1887"/>
      <c r="M177" s="513"/>
      <c r="N177" s="514" t="s">
        <v>4</v>
      </c>
      <c r="O177" s="514" t="s">
        <v>4</v>
      </c>
      <c r="P177" s="514" t="s">
        <v>4</v>
      </c>
      <c r="Q177" s="514" t="s">
        <v>4</v>
      </c>
      <c r="R177" s="514" t="s">
        <v>4</v>
      </c>
      <c r="S177" s="514" t="s">
        <v>4</v>
      </c>
      <c r="T177" s="514" t="s">
        <v>4</v>
      </c>
      <c r="U177" s="514" t="s">
        <v>4</v>
      </c>
      <c r="V177" s="514" t="s">
        <v>4</v>
      </c>
      <c r="W177" s="514" t="s">
        <v>4</v>
      </c>
      <c r="X177" s="514" t="s">
        <v>4</v>
      </c>
      <c r="Y177" s="404"/>
    </row>
    <row r="178" spans="1:25" s="9" customFormat="1" ht="39.75" hidden="1" customHeight="1" x14ac:dyDescent="0.2">
      <c r="A178" s="10"/>
      <c r="B178" s="10"/>
      <c r="C178" s="1907"/>
      <c r="D178" s="1887"/>
      <c r="E178" s="1887"/>
      <c r="F178" s="2486"/>
      <c r="G178" s="1887"/>
      <c r="H178" s="1887"/>
      <c r="I178" s="1887"/>
      <c r="J178" s="515" t="s">
        <v>1087</v>
      </c>
      <c r="K178" s="517">
        <v>43465</v>
      </c>
      <c r="L178" s="1887"/>
      <c r="M178" s="513"/>
      <c r="N178" s="514"/>
      <c r="O178" s="514"/>
      <c r="P178" s="514"/>
      <c r="Q178" s="514"/>
      <c r="R178" s="514"/>
      <c r="S178" s="514"/>
      <c r="T178" s="514"/>
      <c r="U178" s="514"/>
      <c r="V178" s="514"/>
      <c r="W178" s="514"/>
      <c r="X178" s="514"/>
      <c r="Y178" s="404"/>
    </row>
    <row r="179" spans="1:25" ht="33.75" thickBot="1" x14ac:dyDescent="0.3">
      <c r="C179" s="1908"/>
      <c r="D179" s="1887"/>
      <c r="E179" s="1887"/>
      <c r="F179" s="2486"/>
      <c r="G179" s="1887"/>
      <c r="H179" s="1887"/>
      <c r="I179" s="1887"/>
      <c r="J179" s="515" t="s">
        <v>1088</v>
      </c>
      <c r="K179" s="517">
        <v>43465</v>
      </c>
      <c r="L179" s="1887"/>
      <c r="M179" s="513"/>
      <c r="N179" s="514" t="s">
        <v>4</v>
      </c>
      <c r="O179" s="514" t="s">
        <v>4</v>
      </c>
      <c r="P179" s="514" t="s">
        <v>4</v>
      </c>
      <c r="Q179" s="514" t="s">
        <v>4</v>
      </c>
      <c r="R179" s="514" t="s">
        <v>4</v>
      </c>
      <c r="S179" s="514" t="s">
        <v>4</v>
      </c>
      <c r="T179" s="514" t="s">
        <v>4</v>
      </c>
      <c r="U179" s="514" t="s">
        <v>4</v>
      </c>
      <c r="V179" s="514" t="s">
        <v>4</v>
      </c>
      <c r="W179" s="514" t="s">
        <v>4</v>
      </c>
      <c r="X179" s="514" t="s">
        <v>4</v>
      </c>
      <c r="Y179" s="409"/>
    </row>
    <row r="180" spans="1:25" ht="66.75" thickBot="1" x14ac:dyDescent="0.3">
      <c r="C180" s="2467" t="s">
        <v>1303</v>
      </c>
      <c r="D180" s="1864" t="s">
        <v>50</v>
      </c>
      <c r="E180" s="1864" t="s">
        <v>1089</v>
      </c>
      <c r="F180" s="2494">
        <v>0.6</v>
      </c>
      <c r="G180" s="1864" t="s">
        <v>1090</v>
      </c>
      <c r="H180" s="1864" t="s">
        <v>1091</v>
      </c>
      <c r="I180" s="1864" t="s">
        <v>1092</v>
      </c>
      <c r="J180" s="358" t="s">
        <v>1093</v>
      </c>
      <c r="K180" s="305" t="s">
        <v>1096</v>
      </c>
      <c r="L180" s="1864" t="s">
        <v>249</v>
      </c>
      <c r="M180" s="458"/>
      <c r="N180" s="459"/>
      <c r="O180" s="459"/>
      <c r="P180" s="459"/>
      <c r="Q180" s="459"/>
      <c r="R180" s="459"/>
      <c r="S180" s="459"/>
      <c r="T180" s="459"/>
      <c r="U180" s="459"/>
      <c r="V180" s="459"/>
      <c r="W180" s="459"/>
      <c r="X180" s="459"/>
      <c r="Y180" s="409"/>
    </row>
    <row r="181" spans="1:25" ht="39" thickBot="1" x14ac:dyDescent="0.3">
      <c r="C181" s="2468"/>
      <c r="D181" s="1864"/>
      <c r="E181" s="1864"/>
      <c r="F181" s="2494"/>
      <c r="G181" s="1864"/>
      <c r="H181" s="1864"/>
      <c r="I181" s="1864"/>
      <c r="J181" s="358" t="s">
        <v>1094</v>
      </c>
      <c r="K181" s="305" t="s">
        <v>1097</v>
      </c>
      <c r="L181" s="1864"/>
      <c r="M181" s="458"/>
      <c r="N181" s="459"/>
      <c r="O181" s="459"/>
      <c r="P181" s="459"/>
      <c r="Q181" s="459"/>
      <c r="R181" s="459"/>
      <c r="S181" s="459"/>
      <c r="T181" s="459"/>
      <c r="U181" s="459"/>
      <c r="V181" s="459"/>
      <c r="W181" s="459"/>
      <c r="X181" s="459"/>
      <c r="Y181" s="409"/>
    </row>
    <row r="182" spans="1:25" ht="50.25" thickBot="1" x14ac:dyDescent="0.3">
      <c r="C182" s="2468"/>
      <c r="D182" s="1864"/>
      <c r="E182" s="1864"/>
      <c r="F182" s="2494"/>
      <c r="G182" s="1864"/>
      <c r="H182" s="1864"/>
      <c r="I182" s="1864"/>
      <c r="J182" s="358" t="s">
        <v>1095</v>
      </c>
      <c r="K182" s="305" t="s">
        <v>1097</v>
      </c>
      <c r="L182" s="1864"/>
      <c r="M182" s="458"/>
      <c r="N182" s="459"/>
      <c r="O182" s="459"/>
      <c r="P182" s="459"/>
      <c r="Q182" s="459"/>
      <c r="R182" s="459"/>
      <c r="S182" s="459"/>
      <c r="T182" s="459"/>
      <c r="U182" s="459"/>
      <c r="V182" s="459"/>
      <c r="W182" s="459"/>
      <c r="X182" s="459"/>
      <c r="Y182" s="409"/>
    </row>
    <row r="183" spans="1:25" ht="30" customHeight="1" thickBot="1" x14ac:dyDescent="0.3">
      <c r="C183" s="2468"/>
      <c r="D183" s="1864" t="s">
        <v>50</v>
      </c>
      <c r="E183" s="1864" t="s">
        <v>1098</v>
      </c>
      <c r="F183" s="1864" t="s">
        <v>1099</v>
      </c>
      <c r="G183" s="1864" t="s">
        <v>1100</v>
      </c>
      <c r="H183" s="1864" t="s">
        <v>1101</v>
      </c>
      <c r="I183" s="1864" t="s">
        <v>1102</v>
      </c>
      <c r="J183" s="358" t="s">
        <v>1104</v>
      </c>
      <c r="K183" s="306">
        <v>43131</v>
      </c>
      <c r="L183" s="1864" t="s">
        <v>1103</v>
      </c>
      <c r="M183" s="458"/>
      <c r="N183" s="459"/>
      <c r="O183" s="459"/>
      <c r="P183" s="459"/>
      <c r="Q183" s="459"/>
      <c r="R183" s="459"/>
      <c r="S183" s="459"/>
      <c r="T183" s="459"/>
      <c r="U183" s="459"/>
      <c r="V183" s="459"/>
      <c r="W183" s="459"/>
      <c r="X183" s="459"/>
      <c r="Y183" s="409"/>
    </row>
    <row r="184" spans="1:25" ht="24" customHeight="1" thickBot="1" x14ac:dyDescent="0.3">
      <c r="C184" s="2468"/>
      <c r="D184" s="1864"/>
      <c r="E184" s="1864"/>
      <c r="F184" s="1864"/>
      <c r="G184" s="1864"/>
      <c r="H184" s="1864"/>
      <c r="I184" s="1864"/>
      <c r="J184" s="358" t="s">
        <v>1105</v>
      </c>
      <c r="K184" s="306">
        <v>43159</v>
      </c>
      <c r="L184" s="1864"/>
      <c r="M184" s="458"/>
      <c r="N184" s="459"/>
      <c r="O184" s="459"/>
      <c r="P184" s="459"/>
      <c r="Q184" s="459"/>
      <c r="R184" s="459"/>
      <c r="S184" s="459"/>
      <c r="T184" s="459"/>
      <c r="U184" s="459"/>
      <c r="V184" s="459"/>
      <c r="W184" s="459"/>
      <c r="X184" s="459"/>
      <c r="Y184" s="409"/>
    </row>
    <row r="185" spans="1:25" ht="39" thickBot="1" x14ac:dyDescent="0.3">
      <c r="C185" s="2468"/>
      <c r="D185" s="1864"/>
      <c r="E185" s="1864"/>
      <c r="F185" s="1864"/>
      <c r="G185" s="1864"/>
      <c r="H185" s="1864"/>
      <c r="I185" s="1864"/>
      <c r="J185" s="358" t="s">
        <v>1106</v>
      </c>
      <c r="K185" s="305" t="s">
        <v>1109</v>
      </c>
      <c r="L185" s="1864"/>
      <c r="M185" s="458"/>
      <c r="N185" s="459"/>
      <c r="O185" s="459"/>
      <c r="P185" s="459"/>
      <c r="Q185" s="459"/>
      <c r="R185" s="459"/>
      <c r="S185" s="459"/>
      <c r="T185" s="459"/>
      <c r="U185" s="459"/>
      <c r="V185" s="459"/>
      <c r="W185" s="459"/>
      <c r="X185" s="459"/>
      <c r="Y185" s="409"/>
    </row>
    <row r="186" spans="1:25" ht="44.25" customHeight="1" thickBot="1" x14ac:dyDescent="0.3">
      <c r="C186" s="2468"/>
      <c r="D186" s="1864"/>
      <c r="E186" s="1864"/>
      <c r="F186" s="1864"/>
      <c r="G186" s="1864"/>
      <c r="H186" s="1864"/>
      <c r="I186" s="1864"/>
      <c r="J186" s="358" t="s">
        <v>1107</v>
      </c>
      <c r="K186" s="306">
        <v>43281</v>
      </c>
      <c r="L186" s="1864"/>
      <c r="M186" s="458"/>
      <c r="N186" s="459"/>
      <c r="O186" s="459"/>
      <c r="P186" s="459"/>
      <c r="Q186" s="459"/>
      <c r="R186" s="459"/>
      <c r="S186" s="459"/>
      <c r="T186" s="459"/>
      <c r="U186" s="459"/>
      <c r="V186" s="459"/>
      <c r="W186" s="459"/>
      <c r="X186" s="459"/>
      <c r="Y186" s="409"/>
    </row>
    <row r="187" spans="1:25" ht="35.25" customHeight="1" thickBot="1" x14ac:dyDescent="0.3">
      <c r="C187" s="2469"/>
      <c r="D187" s="1864"/>
      <c r="E187" s="1864"/>
      <c r="F187" s="1864"/>
      <c r="G187" s="1864"/>
      <c r="H187" s="1864"/>
      <c r="I187" s="1864"/>
      <c r="J187" s="358" t="s">
        <v>1108</v>
      </c>
      <c r="K187" s="306" t="s">
        <v>1110</v>
      </c>
      <c r="L187" s="1864"/>
      <c r="M187" s="460"/>
      <c r="N187" s="461"/>
      <c r="O187" s="461"/>
      <c r="P187" s="461"/>
      <c r="Q187" s="461"/>
      <c r="R187" s="461"/>
      <c r="S187" s="461"/>
      <c r="T187" s="461"/>
      <c r="U187" s="461"/>
      <c r="V187" s="461"/>
      <c r="W187" s="461"/>
      <c r="X187" s="461"/>
      <c r="Y187" s="410"/>
    </row>
    <row r="188" spans="1:25" ht="66" customHeight="1" thickBot="1" x14ac:dyDescent="0.3">
      <c r="C188" s="1906" t="s">
        <v>1414</v>
      </c>
      <c r="D188" s="319" t="s">
        <v>50</v>
      </c>
      <c r="E188" s="319" t="s">
        <v>1119</v>
      </c>
      <c r="F188" s="319"/>
      <c r="G188" s="319" t="s">
        <v>1120</v>
      </c>
      <c r="H188" s="319" t="s">
        <v>1121</v>
      </c>
      <c r="I188" s="319" t="s">
        <v>1122</v>
      </c>
      <c r="J188" s="359" t="s">
        <v>1124</v>
      </c>
      <c r="K188" s="317">
        <v>43190</v>
      </c>
      <c r="L188" s="317" t="s">
        <v>1123</v>
      </c>
      <c r="M188" s="448"/>
      <c r="N188" s="449"/>
      <c r="O188" s="449"/>
      <c r="P188" s="449"/>
      <c r="Q188" s="449"/>
      <c r="R188" s="449"/>
      <c r="S188" s="449"/>
      <c r="T188" s="449"/>
      <c r="U188" s="449"/>
      <c r="V188" s="449"/>
      <c r="W188" s="449"/>
      <c r="X188" s="450"/>
    </row>
    <row r="189" spans="1:25" ht="75" customHeight="1" thickBot="1" x14ac:dyDescent="0.3">
      <c r="C189" s="1907"/>
      <c r="D189" s="319" t="s">
        <v>50</v>
      </c>
      <c r="E189" s="319" t="s">
        <v>1125</v>
      </c>
      <c r="F189" s="319"/>
      <c r="G189" s="318" t="s">
        <v>1126</v>
      </c>
      <c r="H189" s="361" t="s">
        <v>1127</v>
      </c>
      <c r="I189" s="319" t="s">
        <v>1128</v>
      </c>
      <c r="J189" s="359" t="s">
        <v>1129</v>
      </c>
      <c r="K189" s="317">
        <v>43190</v>
      </c>
      <c r="L189" s="317" t="s">
        <v>1123</v>
      </c>
      <c r="M189" s="448"/>
      <c r="N189" s="449"/>
      <c r="O189" s="449"/>
      <c r="P189" s="449"/>
      <c r="Q189" s="449"/>
      <c r="R189" s="449"/>
      <c r="S189" s="449"/>
      <c r="T189" s="449"/>
      <c r="U189" s="449"/>
      <c r="V189" s="449"/>
      <c r="W189" s="449"/>
      <c r="X189" s="450"/>
    </row>
    <row r="190" spans="1:25" ht="49.5" customHeight="1" thickBot="1" x14ac:dyDescent="0.3">
      <c r="C190" s="1907"/>
      <c r="D190" s="2489" t="s">
        <v>50</v>
      </c>
      <c r="E190" s="2489" t="s">
        <v>1130</v>
      </c>
      <c r="F190" s="2489"/>
      <c r="G190" s="2489" t="s">
        <v>1131</v>
      </c>
      <c r="H190" s="2489" t="s">
        <v>1136</v>
      </c>
      <c r="I190" s="2495" t="s">
        <v>1135</v>
      </c>
      <c r="J190" s="359" t="s">
        <v>1132</v>
      </c>
      <c r="K190" s="317">
        <v>43190</v>
      </c>
      <c r="L190" s="2490"/>
      <c r="M190" s="448"/>
      <c r="N190" s="449"/>
      <c r="O190" s="449"/>
      <c r="P190" s="449"/>
      <c r="Q190" s="449"/>
      <c r="R190" s="449"/>
      <c r="S190" s="449"/>
      <c r="T190" s="449"/>
      <c r="U190" s="449"/>
      <c r="V190" s="449"/>
      <c r="W190" s="449"/>
      <c r="X190" s="450"/>
    </row>
    <row r="191" spans="1:25" ht="33" customHeight="1" thickBot="1" x14ac:dyDescent="0.3">
      <c r="C191" s="1907"/>
      <c r="D191" s="2489"/>
      <c r="E191" s="2489"/>
      <c r="F191" s="2489"/>
      <c r="G191" s="2489"/>
      <c r="H191" s="2489"/>
      <c r="I191" s="2496"/>
      <c r="J191" s="359" t="s">
        <v>1133</v>
      </c>
      <c r="K191" s="317">
        <v>43190</v>
      </c>
      <c r="L191" s="2491"/>
      <c r="M191" s="448"/>
      <c r="N191" s="449"/>
      <c r="O191" s="449"/>
      <c r="P191" s="449"/>
      <c r="Q191" s="449"/>
      <c r="R191" s="449"/>
      <c r="S191" s="449"/>
      <c r="T191" s="449"/>
      <c r="U191" s="449"/>
      <c r="V191" s="449"/>
      <c r="W191" s="449"/>
      <c r="X191" s="450"/>
    </row>
    <row r="192" spans="1:25" ht="4.5" hidden="1" customHeight="1" x14ac:dyDescent="0.25">
      <c r="C192" s="1908"/>
      <c r="D192" s="2489"/>
      <c r="E192" s="2489"/>
      <c r="F192" s="2489"/>
      <c r="G192" s="2489"/>
      <c r="H192" s="2489"/>
      <c r="I192" s="319"/>
      <c r="J192" s="359" t="s">
        <v>1134</v>
      </c>
      <c r="K192" s="317">
        <v>43190</v>
      </c>
      <c r="L192" s="2492"/>
      <c r="M192" s="402"/>
      <c r="N192" s="403"/>
      <c r="O192" s="403"/>
      <c r="P192" s="403"/>
      <c r="Q192" s="403"/>
      <c r="R192" s="403"/>
      <c r="S192" s="403"/>
      <c r="T192" s="403"/>
      <c r="U192" s="403"/>
      <c r="V192" s="403"/>
      <c r="W192" s="403"/>
      <c r="X192" s="404"/>
    </row>
    <row r="193" spans="3:24" ht="96" customHeight="1" thickBot="1" x14ac:dyDescent="0.3">
      <c r="C193" s="2467" t="s">
        <v>1309</v>
      </c>
      <c r="D193" s="1865" t="s">
        <v>50</v>
      </c>
      <c r="E193" s="1865" t="s">
        <v>1174</v>
      </c>
      <c r="F193" s="2493"/>
      <c r="G193" s="1865" t="s">
        <v>1137</v>
      </c>
      <c r="H193" s="1865" t="s">
        <v>1137</v>
      </c>
      <c r="I193" s="1865" t="s">
        <v>1138</v>
      </c>
      <c r="J193" s="360" t="s">
        <v>1140</v>
      </c>
      <c r="K193" s="320">
        <v>43456</v>
      </c>
      <c r="L193" s="1865" t="s">
        <v>1139</v>
      </c>
      <c r="M193" s="454"/>
      <c r="N193" s="455"/>
      <c r="O193" s="455"/>
      <c r="P193" s="455"/>
      <c r="Q193" s="455"/>
      <c r="R193" s="455"/>
      <c r="S193" s="455"/>
      <c r="T193" s="455"/>
      <c r="U193" s="455"/>
      <c r="V193" s="455"/>
      <c r="W193" s="455"/>
      <c r="X193" s="497">
        <v>43456</v>
      </c>
    </row>
    <row r="194" spans="3:24" ht="63" customHeight="1" thickBot="1" x14ac:dyDescent="0.3">
      <c r="C194" s="2468"/>
      <c r="D194" s="1865"/>
      <c r="E194" s="1865"/>
      <c r="F194" s="2493"/>
      <c r="G194" s="1865"/>
      <c r="H194" s="1865"/>
      <c r="I194" s="1865"/>
      <c r="J194" s="360" t="s">
        <v>1141</v>
      </c>
      <c r="K194" s="320">
        <v>43456</v>
      </c>
      <c r="L194" s="1865"/>
      <c r="M194" s="454"/>
      <c r="N194" s="455"/>
      <c r="O194" s="455"/>
      <c r="P194" s="455"/>
      <c r="Q194" s="455"/>
      <c r="R194" s="455"/>
      <c r="S194" s="455"/>
      <c r="T194" s="455"/>
      <c r="U194" s="455"/>
      <c r="V194" s="455"/>
      <c r="W194" s="497">
        <v>43434</v>
      </c>
      <c r="X194" s="456"/>
    </row>
    <row r="195" spans="3:24" ht="82.5" customHeight="1" thickBot="1" x14ac:dyDescent="0.3">
      <c r="C195" s="2468"/>
      <c r="D195" s="1865"/>
      <c r="E195" s="1865"/>
      <c r="F195" s="2493"/>
      <c r="G195" s="1865"/>
      <c r="H195" s="1865"/>
      <c r="I195" s="1865"/>
      <c r="J195" s="360" t="s">
        <v>1142</v>
      </c>
      <c r="K195" s="320">
        <v>43456</v>
      </c>
      <c r="L195" s="1865"/>
      <c r="M195" s="454"/>
      <c r="N195" s="455"/>
      <c r="O195" s="455"/>
      <c r="P195" s="455"/>
      <c r="Q195" s="455"/>
      <c r="R195" s="455"/>
      <c r="S195" s="455"/>
      <c r="T195" s="455"/>
      <c r="U195" s="455"/>
      <c r="V195" s="497">
        <v>43404</v>
      </c>
      <c r="W195" s="455"/>
      <c r="X195" s="456"/>
    </row>
    <row r="196" spans="3:24" ht="80.25" customHeight="1" thickBot="1" x14ac:dyDescent="0.3">
      <c r="C196" s="2468"/>
      <c r="D196" s="1865"/>
      <c r="E196" s="1865"/>
      <c r="F196" s="2493"/>
      <c r="G196" s="1865"/>
      <c r="H196" s="1865"/>
      <c r="I196" s="1865"/>
      <c r="J196" s="360" t="s">
        <v>1143</v>
      </c>
      <c r="K196" s="320">
        <v>43465</v>
      </c>
      <c r="L196" s="1865"/>
      <c r="M196" s="454"/>
      <c r="N196" s="455"/>
      <c r="O196" s="455"/>
      <c r="P196" s="455"/>
      <c r="Q196" s="455"/>
      <c r="R196" s="455"/>
      <c r="S196" s="455"/>
      <c r="T196" s="455"/>
      <c r="U196" s="455"/>
      <c r="V196" s="455"/>
      <c r="W196" s="455"/>
      <c r="X196" s="497">
        <v>43465</v>
      </c>
    </row>
    <row r="197" spans="3:24" ht="76.5" customHeight="1" thickBot="1" x14ac:dyDescent="0.3">
      <c r="C197" s="2468"/>
      <c r="D197" s="1865" t="s">
        <v>50</v>
      </c>
      <c r="E197" s="1865" t="s">
        <v>1175</v>
      </c>
      <c r="F197" s="1865">
        <v>2</v>
      </c>
      <c r="G197" s="1865" t="s">
        <v>1144</v>
      </c>
      <c r="H197" s="1865" t="s">
        <v>1145</v>
      </c>
      <c r="I197" s="1865" t="s">
        <v>1138</v>
      </c>
      <c r="J197" s="360" t="s">
        <v>1147</v>
      </c>
      <c r="K197" s="320">
        <v>43465</v>
      </c>
      <c r="L197" s="1845" t="s">
        <v>1146</v>
      </c>
      <c r="M197" s="454"/>
      <c r="N197" s="455"/>
      <c r="O197" s="455"/>
      <c r="P197" s="455"/>
      <c r="Q197" s="455"/>
      <c r="R197" s="455"/>
      <c r="S197" s="455"/>
      <c r="T197" s="455"/>
      <c r="U197" s="455"/>
      <c r="V197" s="455"/>
      <c r="W197" s="455"/>
      <c r="X197" s="497">
        <v>43465</v>
      </c>
    </row>
    <row r="198" spans="3:24" ht="123" customHeight="1" thickBot="1" x14ac:dyDescent="0.3">
      <c r="C198" s="2468"/>
      <c r="D198" s="1865"/>
      <c r="E198" s="1865"/>
      <c r="F198" s="1865"/>
      <c r="G198" s="1865"/>
      <c r="H198" s="1865"/>
      <c r="I198" s="1865"/>
      <c r="J198" s="360" t="s">
        <v>1148</v>
      </c>
      <c r="K198" s="320">
        <v>43465</v>
      </c>
      <c r="L198" s="1845"/>
      <c r="M198" s="454"/>
      <c r="N198" s="455"/>
      <c r="O198" s="455"/>
      <c r="P198" s="455"/>
      <c r="Q198" s="455"/>
      <c r="R198" s="455"/>
      <c r="S198" s="455"/>
      <c r="T198" s="455"/>
      <c r="U198" s="455"/>
      <c r="V198" s="455"/>
      <c r="W198" s="455"/>
      <c r="X198" s="497">
        <v>43465</v>
      </c>
    </row>
    <row r="199" spans="3:24" ht="53.25" customHeight="1" thickBot="1" x14ac:dyDescent="0.3">
      <c r="C199" s="2468"/>
      <c r="D199" s="1865" t="s">
        <v>50</v>
      </c>
      <c r="E199" s="1865" t="s">
        <v>1149</v>
      </c>
      <c r="F199" s="1865">
        <v>7</v>
      </c>
      <c r="G199" s="1865" t="s">
        <v>1150</v>
      </c>
      <c r="H199" s="1865" t="s">
        <v>1151</v>
      </c>
      <c r="I199" s="1865" t="s">
        <v>1138</v>
      </c>
      <c r="J199" s="360" t="s">
        <v>1152</v>
      </c>
      <c r="K199" s="320">
        <v>43456</v>
      </c>
      <c r="L199" s="1845" t="s">
        <v>1146</v>
      </c>
      <c r="M199" s="454"/>
      <c r="N199" s="455"/>
      <c r="O199" s="455"/>
      <c r="P199" s="455"/>
      <c r="Q199" s="455"/>
      <c r="R199" s="455"/>
      <c r="S199" s="455"/>
      <c r="T199" s="455"/>
      <c r="U199" s="455"/>
      <c r="V199" s="455"/>
      <c r="W199" s="455"/>
      <c r="X199" s="497">
        <v>43456</v>
      </c>
    </row>
    <row r="200" spans="3:24" ht="78" customHeight="1" thickBot="1" x14ac:dyDescent="0.3">
      <c r="C200" s="2468"/>
      <c r="D200" s="1865"/>
      <c r="E200" s="1865"/>
      <c r="F200" s="1865"/>
      <c r="G200" s="1865"/>
      <c r="H200" s="1865"/>
      <c r="I200" s="1865"/>
      <c r="J200" s="360" t="s">
        <v>1153</v>
      </c>
      <c r="K200" s="320">
        <v>43456</v>
      </c>
      <c r="L200" s="1845"/>
      <c r="M200" s="454"/>
      <c r="N200" s="455"/>
      <c r="O200" s="455"/>
      <c r="P200" s="455"/>
      <c r="Q200" s="455"/>
      <c r="R200" s="455"/>
      <c r="S200" s="455"/>
      <c r="T200" s="455"/>
      <c r="U200" s="455"/>
      <c r="V200" s="455"/>
      <c r="W200" s="455"/>
      <c r="X200" s="497">
        <v>43456</v>
      </c>
    </row>
    <row r="201" spans="3:24" ht="86.25" customHeight="1" thickBot="1" x14ac:dyDescent="0.3">
      <c r="C201" s="2468"/>
      <c r="D201" s="1865"/>
      <c r="E201" s="1865"/>
      <c r="F201" s="1865"/>
      <c r="G201" s="1865"/>
      <c r="H201" s="1865"/>
      <c r="I201" s="1865"/>
      <c r="J201" s="360" t="s">
        <v>1154</v>
      </c>
      <c r="K201" s="320">
        <v>43456</v>
      </c>
      <c r="L201" s="1845"/>
      <c r="M201" s="454"/>
      <c r="N201" s="455"/>
      <c r="O201" s="455"/>
      <c r="P201" s="455"/>
      <c r="Q201" s="455"/>
      <c r="R201" s="455"/>
      <c r="S201" s="455"/>
      <c r="T201" s="455"/>
      <c r="U201" s="455"/>
      <c r="V201" s="455"/>
      <c r="W201" s="497">
        <v>43434</v>
      </c>
      <c r="X201" s="456"/>
    </row>
    <row r="202" spans="3:24" ht="72.75" customHeight="1" thickBot="1" x14ac:dyDescent="0.3">
      <c r="C202" s="2468"/>
      <c r="D202" s="1865"/>
      <c r="E202" s="1865"/>
      <c r="F202" s="1865"/>
      <c r="G202" s="1865"/>
      <c r="H202" s="1865"/>
      <c r="I202" s="1865"/>
      <c r="J202" s="360" t="s">
        <v>1155</v>
      </c>
      <c r="K202" s="320">
        <v>43456</v>
      </c>
      <c r="L202" s="1845"/>
      <c r="M202" s="454"/>
      <c r="N202" s="455"/>
      <c r="O202" s="455"/>
      <c r="P202" s="455"/>
      <c r="Q202" s="455"/>
      <c r="R202" s="455"/>
      <c r="S202" s="455"/>
      <c r="T202" s="455"/>
      <c r="U202" s="455"/>
      <c r="V202" s="455"/>
      <c r="W202" s="497">
        <v>43434</v>
      </c>
      <c r="X202" s="456"/>
    </row>
    <row r="203" spans="3:24" ht="86.25" customHeight="1" thickBot="1" x14ac:dyDescent="0.3">
      <c r="C203" s="2468"/>
      <c r="D203" s="1865"/>
      <c r="E203" s="1865"/>
      <c r="F203" s="1865"/>
      <c r="G203" s="1865"/>
      <c r="H203" s="1865"/>
      <c r="I203" s="1865"/>
      <c r="J203" s="360" t="s">
        <v>1156</v>
      </c>
      <c r="K203" s="320">
        <v>43456</v>
      </c>
      <c r="L203" s="1845"/>
      <c r="M203" s="454"/>
      <c r="N203" s="498"/>
      <c r="O203" s="455"/>
      <c r="P203" s="455"/>
      <c r="Q203" s="455"/>
      <c r="R203" s="455"/>
      <c r="S203" s="455"/>
      <c r="T203" s="497">
        <v>43342</v>
      </c>
      <c r="U203" s="455"/>
      <c r="V203" s="455"/>
      <c r="W203" s="455"/>
      <c r="X203" s="456"/>
    </row>
    <row r="204" spans="3:24" ht="66.75" customHeight="1" thickBot="1" x14ac:dyDescent="0.3">
      <c r="C204" s="2468"/>
      <c r="D204" s="1865"/>
      <c r="E204" s="1865"/>
      <c r="F204" s="1865"/>
      <c r="G204" s="1865"/>
      <c r="H204" s="1865"/>
      <c r="I204" s="1865"/>
      <c r="J204" s="360" t="s">
        <v>1157</v>
      </c>
      <c r="K204" s="320">
        <v>43465</v>
      </c>
      <c r="L204" s="1845"/>
      <c r="M204" s="454"/>
      <c r="N204" s="455"/>
      <c r="O204" s="455"/>
      <c r="P204" s="455"/>
      <c r="Q204" s="455"/>
      <c r="R204" s="455"/>
      <c r="S204" s="455"/>
      <c r="T204" s="455"/>
      <c r="U204" s="455"/>
      <c r="V204" s="455"/>
      <c r="W204" s="455"/>
      <c r="X204" s="497">
        <v>43465</v>
      </c>
    </row>
    <row r="205" spans="3:24" ht="74.25" customHeight="1" thickBot="1" x14ac:dyDescent="0.3">
      <c r="C205" s="2468"/>
      <c r="D205" s="1865"/>
      <c r="E205" s="1865"/>
      <c r="F205" s="1865"/>
      <c r="G205" s="1865"/>
      <c r="H205" s="1865"/>
      <c r="I205" s="1865"/>
      <c r="J205" s="360" t="s">
        <v>1158</v>
      </c>
      <c r="K205" s="320">
        <v>43465</v>
      </c>
      <c r="L205" s="1845"/>
      <c r="M205" s="454"/>
      <c r="N205" s="455"/>
      <c r="O205" s="455"/>
      <c r="P205" s="455"/>
      <c r="Q205" s="455"/>
      <c r="R205" s="455"/>
      <c r="S205" s="455"/>
      <c r="T205" s="455"/>
      <c r="U205" s="455"/>
      <c r="V205" s="455"/>
      <c r="W205" s="455"/>
      <c r="X205" s="497">
        <v>43465</v>
      </c>
    </row>
    <row r="206" spans="3:24" ht="91.5" customHeight="1" thickBot="1" x14ac:dyDescent="0.3">
      <c r="C206" s="2468"/>
      <c r="D206" s="1865" t="s">
        <v>50</v>
      </c>
      <c r="E206" s="1865" t="s">
        <v>1162</v>
      </c>
      <c r="F206" s="1865">
        <v>1</v>
      </c>
      <c r="G206" s="1865" t="s">
        <v>1159</v>
      </c>
      <c r="H206" s="1865" t="s">
        <v>1160</v>
      </c>
      <c r="I206" s="1865" t="s">
        <v>1138</v>
      </c>
      <c r="J206" s="360" t="s">
        <v>1163</v>
      </c>
      <c r="K206" s="320">
        <v>43456</v>
      </c>
      <c r="L206" s="1860" t="s">
        <v>1161</v>
      </c>
      <c r="M206" s="454"/>
      <c r="N206" s="455"/>
      <c r="O206" s="455"/>
      <c r="P206" s="455"/>
      <c r="Q206" s="455"/>
      <c r="R206" s="455"/>
      <c r="S206" s="455"/>
      <c r="T206" s="455"/>
      <c r="U206" s="455"/>
      <c r="V206" s="455"/>
      <c r="W206" s="455"/>
      <c r="X206" s="497">
        <v>43465</v>
      </c>
    </row>
    <row r="207" spans="3:24" ht="63" customHeight="1" thickBot="1" x14ac:dyDescent="0.3">
      <c r="C207" s="2468"/>
      <c r="D207" s="1865"/>
      <c r="E207" s="1865"/>
      <c r="F207" s="1865"/>
      <c r="G207" s="1865"/>
      <c r="H207" s="1865"/>
      <c r="I207" s="1865"/>
      <c r="J207" s="360" t="s">
        <v>1164</v>
      </c>
      <c r="K207" s="321">
        <v>43456</v>
      </c>
      <c r="L207" s="1861"/>
      <c r="M207" s="454"/>
      <c r="N207" s="455"/>
      <c r="O207" s="455"/>
      <c r="P207" s="455"/>
      <c r="Q207" s="455"/>
      <c r="R207" s="455"/>
      <c r="S207" s="455"/>
      <c r="T207" s="455"/>
      <c r="U207" s="455"/>
      <c r="V207" s="455"/>
      <c r="W207" s="455"/>
      <c r="X207" s="497">
        <v>43465</v>
      </c>
    </row>
    <row r="208" spans="3:24" ht="49.5" customHeight="1" thickBot="1" x14ac:dyDescent="0.3">
      <c r="C208" s="2468"/>
      <c r="D208" s="1865" t="s">
        <v>50</v>
      </c>
      <c r="E208" s="1865" t="s">
        <v>1165</v>
      </c>
      <c r="F208" s="1865">
        <v>2</v>
      </c>
      <c r="G208" s="1865" t="s">
        <v>1166</v>
      </c>
      <c r="H208" s="1865" t="s">
        <v>1167</v>
      </c>
      <c r="I208" s="1865" t="s">
        <v>1138</v>
      </c>
      <c r="J208" s="360" t="s">
        <v>1169</v>
      </c>
      <c r="K208" s="320">
        <v>43456</v>
      </c>
      <c r="L208" s="1845" t="s">
        <v>1168</v>
      </c>
      <c r="M208" s="454"/>
      <c r="N208" s="455"/>
      <c r="O208" s="455"/>
      <c r="P208" s="455"/>
      <c r="Q208" s="455"/>
      <c r="R208" s="455"/>
      <c r="S208" s="455"/>
      <c r="T208" s="455"/>
      <c r="U208" s="455"/>
      <c r="V208" s="455"/>
      <c r="W208" s="455"/>
      <c r="X208" s="497">
        <v>43465</v>
      </c>
    </row>
    <row r="209" spans="3:24" ht="49.5" customHeight="1" thickBot="1" x14ac:dyDescent="0.3">
      <c r="C209" s="2468"/>
      <c r="D209" s="1865"/>
      <c r="E209" s="1865"/>
      <c r="F209" s="1865"/>
      <c r="G209" s="1865"/>
      <c r="H209" s="1865"/>
      <c r="I209" s="1865"/>
      <c r="J209" s="360" t="s">
        <v>1170</v>
      </c>
      <c r="K209" s="320">
        <v>43456</v>
      </c>
      <c r="L209" s="1845"/>
      <c r="M209" s="454"/>
      <c r="N209" s="455"/>
      <c r="O209" s="455"/>
      <c r="P209" s="455"/>
      <c r="Q209" s="455"/>
      <c r="R209" s="455"/>
      <c r="S209" s="455"/>
      <c r="T209" s="455"/>
      <c r="U209" s="455"/>
      <c r="V209" s="455"/>
      <c r="W209" s="455"/>
      <c r="X209" s="497">
        <v>43465</v>
      </c>
    </row>
    <row r="210" spans="3:24" ht="49.5" customHeight="1" thickBot="1" x14ac:dyDescent="0.3">
      <c r="C210" s="2468"/>
      <c r="D210" s="1865"/>
      <c r="E210" s="1865"/>
      <c r="F210" s="1865"/>
      <c r="G210" s="1865"/>
      <c r="H210" s="1865"/>
      <c r="I210" s="1865"/>
      <c r="J210" s="360" t="s">
        <v>1171</v>
      </c>
      <c r="K210" s="320">
        <v>43456</v>
      </c>
      <c r="L210" s="1845"/>
      <c r="M210" s="454"/>
      <c r="N210" s="455"/>
      <c r="O210" s="455"/>
      <c r="P210" s="455"/>
      <c r="Q210" s="455"/>
      <c r="R210" s="455"/>
      <c r="S210" s="455"/>
      <c r="T210" s="455"/>
      <c r="U210" s="455"/>
      <c r="V210" s="455"/>
      <c r="W210" s="455"/>
      <c r="X210" s="497">
        <v>43455</v>
      </c>
    </row>
    <row r="211" spans="3:24" ht="49.5" customHeight="1" thickBot="1" x14ac:dyDescent="0.3">
      <c r="C211" s="2468"/>
      <c r="D211" s="1865"/>
      <c r="E211" s="1865"/>
      <c r="F211" s="1865"/>
      <c r="G211" s="1865"/>
      <c r="H211" s="1865"/>
      <c r="I211" s="1865"/>
      <c r="J211" s="360" t="s">
        <v>1172</v>
      </c>
      <c r="K211" s="320">
        <v>43456</v>
      </c>
      <c r="L211" s="1845"/>
      <c r="M211" s="454"/>
      <c r="N211" s="455"/>
      <c r="O211" s="455"/>
      <c r="P211" s="455"/>
      <c r="Q211" s="455"/>
      <c r="R211" s="455"/>
      <c r="S211" s="455"/>
      <c r="T211" s="455"/>
      <c r="U211" s="455"/>
      <c r="V211" s="455"/>
      <c r="W211" s="455"/>
      <c r="X211" s="497">
        <v>43455</v>
      </c>
    </row>
    <row r="212" spans="3:24" ht="49.5" customHeight="1" thickBot="1" x14ac:dyDescent="0.3">
      <c r="C212" s="2469"/>
      <c r="D212" s="1865"/>
      <c r="E212" s="1865"/>
      <c r="F212" s="1865"/>
      <c r="G212" s="1865"/>
      <c r="H212" s="1865"/>
      <c r="I212" s="1865"/>
      <c r="J212" s="360" t="s">
        <v>1173</v>
      </c>
      <c r="K212" s="320">
        <v>43456</v>
      </c>
      <c r="L212" s="1845"/>
      <c r="M212" s="462"/>
      <c r="N212" s="463"/>
      <c r="O212" s="463"/>
      <c r="P212" s="463"/>
      <c r="Q212" s="463"/>
      <c r="R212" s="463"/>
      <c r="S212" s="463"/>
      <c r="T212" s="463"/>
      <c r="U212" s="463"/>
      <c r="V212" s="463"/>
      <c r="W212" s="463"/>
      <c r="X212" s="497">
        <v>43455</v>
      </c>
    </row>
    <row r="213" spans="3:24" ht="123.75" customHeight="1" thickBot="1" x14ac:dyDescent="0.3">
      <c r="C213" s="1906" t="s">
        <v>1303</v>
      </c>
      <c r="D213" s="2473" t="s">
        <v>50</v>
      </c>
      <c r="E213" s="2473" t="s">
        <v>1184</v>
      </c>
      <c r="F213" s="2486">
        <v>0.8</v>
      </c>
      <c r="G213" s="2473" t="s">
        <v>1185</v>
      </c>
      <c r="H213" s="2473" t="s">
        <v>1186</v>
      </c>
      <c r="I213" s="2473" t="s">
        <v>1190</v>
      </c>
      <c r="J213" s="515" t="s">
        <v>1187</v>
      </c>
      <c r="K213" s="517">
        <v>43190</v>
      </c>
      <c r="L213" s="2488" t="s">
        <v>292</v>
      </c>
      <c r="M213" s="420"/>
      <c r="N213" s="421"/>
      <c r="O213" s="421"/>
      <c r="P213" s="421"/>
      <c r="Q213" s="421"/>
      <c r="R213" s="421"/>
      <c r="S213" s="421"/>
      <c r="T213" s="421"/>
      <c r="U213" s="421"/>
      <c r="V213" s="421"/>
      <c r="W213" s="421"/>
      <c r="X213" s="422"/>
    </row>
    <row r="214" spans="3:24" ht="49.5" customHeight="1" thickBot="1" x14ac:dyDescent="0.3">
      <c r="C214" s="1907"/>
      <c r="D214" s="2473"/>
      <c r="E214" s="2473"/>
      <c r="F214" s="2486"/>
      <c r="G214" s="2473"/>
      <c r="H214" s="2473"/>
      <c r="I214" s="2473"/>
      <c r="J214" s="515" t="s">
        <v>1188</v>
      </c>
      <c r="K214" s="517">
        <v>43465</v>
      </c>
      <c r="L214" s="2488"/>
      <c r="M214" s="423"/>
      <c r="N214" s="424"/>
      <c r="O214" s="424"/>
      <c r="P214" s="424"/>
      <c r="Q214" s="424"/>
      <c r="R214" s="424"/>
      <c r="S214" s="424"/>
      <c r="T214" s="424"/>
      <c r="U214" s="424"/>
      <c r="V214" s="424"/>
      <c r="W214" s="424"/>
      <c r="X214" s="425"/>
    </row>
    <row r="215" spans="3:24" ht="49.5" customHeight="1" thickBot="1" x14ac:dyDescent="0.3">
      <c r="C215" s="1907"/>
      <c r="D215" s="2473"/>
      <c r="E215" s="2473"/>
      <c r="F215" s="2486"/>
      <c r="G215" s="2473"/>
      <c r="H215" s="2473"/>
      <c r="I215" s="2473"/>
      <c r="J215" s="515" t="s">
        <v>1189</v>
      </c>
      <c r="K215" s="517">
        <v>43465</v>
      </c>
      <c r="L215" s="2488"/>
      <c r="M215" s="423"/>
      <c r="N215" s="424"/>
      <c r="O215" s="424"/>
      <c r="P215" s="424"/>
      <c r="Q215" s="424"/>
      <c r="R215" s="424"/>
      <c r="S215" s="424"/>
      <c r="T215" s="424"/>
      <c r="U215" s="424"/>
      <c r="V215" s="424"/>
      <c r="W215" s="424"/>
      <c r="X215" s="425"/>
    </row>
    <row r="216" spans="3:24" ht="30" customHeight="1" thickBot="1" x14ac:dyDescent="0.3">
      <c r="C216" s="1907"/>
      <c r="D216" s="1887" t="s">
        <v>50</v>
      </c>
      <c r="E216" s="1887" t="s">
        <v>1216</v>
      </c>
      <c r="F216" s="2485">
        <v>0.8</v>
      </c>
      <c r="G216" s="1887" t="s">
        <v>1185</v>
      </c>
      <c r="H216" s="1887" t="s">
        <v>1191</v>
      </c>
      <c r="I216" s="2473"/>
      <c r="J216" s="515" t="s">
        <v>1192</v>
      </c>
      <c r="K216" s="329">
        <v>43190</v>
      </c>
      <c r="L216" s="2474" t="s">
        <v>243</v>
      </c>
      <c r="M216" s="423"/>
      <c r="N216" s="424"/>
      <c r="O216" s="424"/>
      <c r="P216" s="424"/>
      <c r="Q216" s="424"/>
      <c r="R216" s="424"/>
      <c r="S216" s="424"/>
      <c r="T216" s="424"/>
      <c r="U216" s="424"/>
      <c r="V216" s="424"/>
      <c r="W216" s="424"/>
      <c r="X216" s="425"/>
    </row>
    <row r="217" spans="3:24" ht="45" customHeight="1" thickBot="1" x14ac:dyDescent="0.3">
      <c r="C217" s="1907"/>
      <c r="D217" s="1887"/>
      <c r="E217" s="1887"/>
      <c r="F217" s="2485"/>
      <c r="G217" s="1887"/>
      <c r="H217" s="1887"/>
      <c r="I217" s="2473"/>
      <c r="J217" s="515" t="s">
        <v>1193</v>
      </c>
      <c r="K217" s="329">
        <v>43465</v>
      </c>
      <c r="L217" s="2474"/>
      <c r="M217" s="423"/>
      <c r="N217" s="424"/>
      <c r="O217" s="424"/>
      <c r="P217" s="424"/>
      <c r="Q217" s="424"/>
      <c r="R217" s="424"/>
      <c r="S217" s="424"/>
      <c r="T217" s="424"/>
      <c r="U217" s="424"/>
      <c r="V217" s="424"/>
      <c r="W217" s="424"/>
      <c r="X217" s="425"/>
    </row>
    <row r="218" spans="3:24" ht="63" customHeight="1" thickBot="1" x14ac:dyDescent="0.3">
      <c r="C218" s="1907"/>
      <c r="D218" s="1887"/>
      <c r="E218" s="1887"/>
      <c r="F218" s="2485"/>
      <c r="G218" s="1887"/>
      <c r="H218" s="1887"/>
      <c r="I218" s="2473"/>
      <c r="J218" s="518" t="s">
        <v>1194</v>
      </c>
      <c r="K218" s="519">
        <v>43465</v>
      </c>
      <c r="L218" s="2475"/>
      <c r="M218" s="423"/>
      <c r="N218" s="424"/>
      <c r="O218" s="424"/>
      <c r="P218" s="424"/>
      <c r="Q218" s="424"/>
      <c r="R218" s="424"/>
      <c r="S218" s="424"/>
      <c r="T218" s="424"/>
      <c r="U218" s="424"/>
      <c r="V218" s="424"/>
      <c r="W218" s="424"/>
      <c r="X218" s="425"/>
    </row>
    <row r="219" spans="3:24" ht="86.25" customHeight="1" thickBot="1" x14ac:dyDescent="0.3">
      <c r="C219" s="1907"/>
      <c r="D219" s="1887" t="s">
        <v>50</v>
      </c>
      <c r="E219" s="2484" t="s">
        <v>1195</v>
      </c>
      <c r="F219" s="2485">
        <v>0.8</v>
      </c>
      <c r="G219" s="1887" t="s">
        <v>1196</v>
      </c>
      <c r="H219" s="1887" t="s">
        <v>1197</v>
      </c>
      <c r="I219" s="2473"/>
      <c r="J219" s="520" t="s">
        <v>1198</v>
      </c>
      <c r="K219" s="329">
        <v>43190</v>
      </c>
      <c r="L219" s="2474" t="s">
        <v>243</v>
      </c>
      <c r="M219" s="423"/>
      <c r="N219" s="424"/>
      <c r="O219" s="424"/>
      <c r="P219" s="424"/>
      <c r="Q219" s="424"/>
      <c r="R219" s="424"/>
      <c r="S219" s="424"/>
      <c r="T219" s="424"/>
      <c r="U219" s="424"/>
      <c r="V219" s="424"/>
      <c r="W219" s="424"/>
      <c r="X219" s="425"/>
    </row>
    <row r="220" spans="3:24" ht="63" customHeight="1" thickBot="1" x14ac:dyDescent="0.3">
      <c r="C220" s="1907"/>
      <c r="D220" s="1887"/>
      <c r="E220" s="2484"/>
      <c r="F220" s="2485"/>
      <c r="G220" s="1887"/>
      <c r="H220" s="1887"/>
      <c r="I220" s="2473"/>
      <c r="J220" s="520" t="s">
        <v>1199</v>
      </c>
      <c r="K220" s="329">
        <v>43465</v>
      </c>
      <c r="L220" s="2474"/>
      <c r="M220" s="423"/>
      <c r="N220" s="424"/>
      <c r="O220" s="424"/>
      <c r="P220" s="424"/>
      <c r="Q220" s="424"/>
      <c r="R220" s="424"/>
      <c r="S220" s="424"/>
      <c r="T220" s="424"/>
      <c r="U220" s="424"/>
      <c r="V220" s="424"/>
      <c r="W220" s="424"/>
      <c r="X220" s="425"/>
    </row>
    <row r="221" spans="3:24" ht="63" customHeight="1" thickBot="1" x14ac:dyDescent="0.3">
      <c r="C221" s="1907"/>
      <c r="D221" s="1887"/>
      <c r="E221" s="2484"/>
      <c r="F221" s="2485"/>
      <c r="G221" s="1887"/>
      <c r="H221" s="1887"/>
      <c r="I221" s="2473"/>
      <c r="J221" s="520" t="s">
        <v>1189</v>
      </c>
      <c r="K221" s="329">
        <v>43465</v>
      </c>
      <c r="L221" s="2474"/>
      <c r="M221" s="423"/>
      <c r="N221" s="424"/>
      <c r="O221" s="424"/>
      <c r="P221" s="424"/>
      <c r="Q221" s="424"/>
      <c r="R221" s="424"/>
      <c r="S221" s="424"/>
      <c r="T221" s="424"/>
      <c r="U221" s="424"/>
      <c r="V221" s="424"/>
      <c r="W221" s="424"/>
      <c r="X221" s="425"/>
    </row>
    <row r="222" spans="3:24" ht="81.75" customHeight="1" thickBot="1" x14ac:dyDescent="0.3">
      <c r="C222" s="1907"/>
      <c r="D222" s="1887" t="s">
        <v>50</v>
      </c>
      <c r="E222" s="2484" t="s">
        <v>1195</v>
      </c>
      <c r="F222" s="2485">
        <v>0.8</v>
      </c>
      <c r="G222" s="1887" t="s">
        <v>1217</v>
      </c>
      <c r="H222" s="1887" t="s">
        <v>1197</v>
      </c>
      <c r="I222" s="2473"/>
      <c r="J222" s="520" t="s">
        <v>1218</v>
      </c>
      <c r="K222" s="329">
        <v>43190</v>
      </c>
      <c r="L222" s="2474" t="s">
        <v>243</v>
      </c>
      <c r="M222" s="423"/>
      <c r="N222" s="424"/>
      <c r="O222" s="424"/>
      <c r="P222" s="424"/>
      <c r="Q222" s="424"/>
      <c r="R222" s="424"/>
      <c r="S222" s="424"/>
      <c r="T222" s="424"/>
      <c r="U222" s="424"/>
      <c r="V222" s="424"/>
      <c r="W222" s="424"/>
      <c r="X222" s="425"/>
    </row>
    <row r="223" spans="3:24" ht="63" customHeight="1" thickBot="1" x14ac:dyDescent="0.3">
      <c r="C223" s="1907"/>
      <c r="D223" s="1887"/>
      <c r="E223" s="2484"/>
      <c r="F223" s="2485"/>
      <c r="G223" s="1887"/>
      <c r="H223" s="1887"/>
      <c r="I223" s="2473"/>
      <c r="J223" s="520" t="s">
        <v>1199</v>
      </c>
      <c r="K223" s="329">
        <v>43465</v>
      </c>
      <c r="L223" s="2474"/>
      <c r="M223" s="423"/>
      <c r="N223" s="424"/>
      <c r="O223" s="424"/>
      <c r="P223" s="424"/>
      <c r="Q223" s="424"/>
      <c r="R223" s="424"/>
      <c r="S223" s="424"/>
      <c r="T223" s="424"/>
      <c r="U223" s="424"/>
      <c r="V223" s="424"/>
      <c r="W223" s="424"/>
      <c r="X223" s="425"/>
    </row>
    <row r="224" spans="3:24" ht="63" customHeight="1" thickBot="1" x14ac:dyDescent="0.3">
      <c r="C224" s="1907"/>
      <c r="D224" s="1887"/>
      <c r="E224" s="2484"/>
      <c r="F224" s="2485"/>
      <c r="G224" s="1887"/>
      <c r="H224" s="1887"/>
      <c r="I224" s="2473"/>
      <c r="J224" s="520" t="s">
        <v>1189</v>
      </c>
      <c r="K224" s="329">
        <v>43465</v>
      </c>
      <c r="L224" s="2474"/>
      <c r="M224" s="423"/>
      <c r="N224" s="424"/>
      <c r="O224" s="424"/>
      <c r="P224" s="424"/>
      <c r="Q224" s="424"/>
      <c r="R224" s="424"/>
      <c r="S224" s="424"/>
      <c r="T224" s="424"/>
      <c r="U224" s="424"/>
      <c r="V224" s="424"/>
      <c r="W224" s="424"/>
      <c r="X224" s="425"/>
    </row>
    <row r="225" spans="3:24" ht="63" customHeight="1" thickBot="1" x14ac:dyDescent="0.3">
      <c r="C225" s="1907"/>
      <c r="D225" s="1887" t="s">
        <v>50</v>
      </c>
      <c r="E225" s="1887" t="s">
        <v>1200</v>
      </c>
      <c r="F225" s="2485">
        <v>1</v>
      </c>
      <c r="G225" s="1887" t="s">
        <v>1201</v>
      </c>
      <c r="H225" s="1887" t="s">
        <v>1202</v>
      </c>
      <c r="I225" s="2473"/>
      <c r="J225" s="349" t="s">
        <v>1203</v>
      </c>
      <c r="K225" s="329">
        <v>43190</v>
      </c>
      <c r="L225" s="2474" t="s">
        <v>243</v>
      </c>
      <c r="M225" s="423"/>
      <c r="N225" s="424"/>
      <c r="O225" s="424"/>
      <c r="P225" s="424"/>
      <c r="Q225" s="424"/>
      <c r="R225" s="424"/>
      <c r="S225" s="424"/>
      <c r="T225" s="424"/>
      <c r="U225" s="424"/>
      <c r="V225" s="424"/>
      <c r="W225" s="424"/>
      <c r="X225" s="425"/>
    </row>
    <row r="226" spans="3:24" ht="63" customHeight="1" thickBot="1" x14ac:dyDescent="0.3">
      <c r="C226" s="1907"/>
      <c r="D226" s="1887"/>
      <c r="E226" s="1887"/>
      <c r="F226" s="2485"/>
      <c r="G226" s="1887"/>
      <c r="H226" s="1887"/>
      <c r="I226" s="2473"/>
      <c r="J226" s="349" t="s">
        <v>1204</v>
      </c>
      <c r="K226" s="329">
        <v>43343</v>
      </c>
      <c r="L226" s="2474"/>
      <c r="M226" s="423"/>
      <c r="N226" s="424"/>
      <c r="O226" s="424"/>
      <c r="P226" s="424"/>
      <c r="Q226" s="424"/>
      <c r="R226" s="424"/>
      <c r="S226" s="424"/>
      <c r="T226" s="424"/>
      <c r="U226" s="424"/>
      <c r="V226" s="424"/>
      <c r="W226" s="424"/>
      <c r="X226" s="425"/>
    </row>
    <row r="227" spans="3:24" ht="63" customHeight="1" thickBot="1" x14ac:dyDescent="0.3">
      <c r="C227" s="1907"/>
      <c r="D227" s="1887"/>
      <c r="E227" s="1887"/>
      <c r="F227" s="2485"/>
      <c r="G227" s="1887"/>
      <c r="H227" s="1887"/>
      <c r="I227" s="2473"/>
      <c r="J227" s="349" t="s">
        <v>1205</v>
      </c>
      <c r="K227" s="329">
        <v>43373</v>
      </c>
      <c r="L227" s="2474"/>
      <c r="M227" s="423"/>
      <c r="N227" s="424"/>
      <c r="O227" s="424"/>
      <c r="P227" s="424"/>
      <c r="Q227" s="424"/>
      <c r="R227" s="424"/>
      <c r="S227" s="424"/>
      <c r="T227" s="424"/>
      <c r="U227" s="424"/>
      <c r="V227" s="424"/>
      <c r="W227" s="424"/>
      <c r="X227" s="425"/>
    </row>
    <row r="228" spans="3:24" ht="63" customHeight="1" thickBot="1" x14ac:dyDescent="0.3">
      <c r="C228" s="1907"/>
      <c r="D228" s="1887"/>
      <c r="E228" s="1887"/>
      <c r="F228" s="2485"/>
      <c r="G228" s="1887"/>
      <c r="H228" s="1887"/>
      <c r="I228" s="2473"/>
      <c r="J228" s="521" t="s">
        <v>1206</v>
      </c>
      <c r="K228" s="519">
        <v>43434</v>
      </c>
      <c r="L228" s="2475"/>
      <c r="M228" s="423"/>
      <c r="N228" s="424"/>
      <c r="O228" s="424"/>
      <c r="P228" s="424"/>
      <c r="Q228" s="424"/>
      <c r="R228" s="424"/>
      <c r="S228" s="424"/>
      <c r="T228" s="424"/>
      <c r="U228" s="424"/>
      <c r="V228" s="424"/>
      <c r="W228" s="424"/>
      <c r="X228" s="425"/>
    </row>
    <row r="229" spans="3:24" ht="63" customHeight="1" thickBot="1" x14ac:dyDescent="0.3">
      <c r="C229" s="1907"/>
      <c r="D229" s="1887" t="s">
        <v>50</v>
      </c>
      <c r="E229" s="2476" t="s">
        <v>1207</v>
      </c>
      <c r="F229" s="2477">
        <v>2</v>
      </c>
      <c r="G229" s="2476" t="s">
        <v>1208</v>
      </c>
      <c r="H229" s="2476" t="s">
        <v>1209</v>
      </c>
      <c r="I229" s="2473"/>
      <c r="J229" s="520" t="s">
        <v>1211</v>
      </c>
      <c r="K229" s="522">
        <v>43281</v>
      </c>
      <c r="L229" s="2474" t="s">
        <v>1210</v>
      </c>
      <c r="M229" s="423"/>
      <c r="N229" s="424"/>
      <c r="O229" s="424"/>
      <c r="P229" s="424"/>
      <c r="Q229" s="424"/>
      <c r="R229" s="424"/>
      <c r="S229" s="424"/>
      <c r="T229" s="424"/>
      <c r="U229" s="424"/>
      <c r="V229" s="424"/>
      <c r="W229" s="424"/>
      <c r="X229" s="425"/>
    </row>
    <row r="230" spans="3:24" ht="63" customHeight="1" thickBot="1" x14ac:dyDescent="0.3">
      <c r="C230" s="1907"/>
      <c r="D230" s="1887"/>
      <c r="E230" s="2476"/>
      <c r="F230" s="2477"/>
      <c r="G230" s="2476"/>
      <c r="H230" s="2476"/>
      <c r="I230" s="2473"/>
      <c r="J230" s="520" t="s">
        <v>1212</v>
      </c>
      <c r="K230" s="522">
        <v>43434</v>
      </c>
      <c r="L230" s="2474"/>
      <c r="M230" s="423"/>
      <c r="N230" s="424"/>
      <c r="O230" s="424"/>
      <c r="P230" s="424"/>
      <c r="Q230" s="424"/>
      <c r="R230" s="424"/>
      <c r="S230" s="424"/>
      <c r="T230" s="424"/>
      <c r="U230" s="424"/>
      <c r="V230" s="424"/>
      <c r="W230" s="424"/>
      <c r="X230" s="425"/>
    </row>
    <row r="231" spans="3:24" ht="63" customHeight="1" thickBot="1" x14ac:dyDescent="0.3">
      <c r="C231" s="1907"/>
      <c r="D231" s="1887"/>
      <c r="E231" s="2476"/>
      <c r="F231" s="2477"/>
      <c r="G231" s="2476"/>
      <c r="H231" s="2476"/>
      <c r="I231" s="2473"/>
      <c r="J231" s="520" t="s">
        <v>1213</v>
      </c>
      <c r="K231" s="522">
        <v>43434</v>
      </c>
      <c r="L231" s="2474"/>
      <c r="M231" s="423"/>
      <c r="N231" s="424"/>
      <c r="O231" s="424"/>
      <c r="P231" s="424"/>
      <c r="Q231" s="424"/>
      <c r="R231" s="424"/>
      <c r="S231" s="424"/>
      <c r="T231" s="424"/>
      <c r="U231" s="424"/>
      <c r="V231" s="424"/>
      <c r="W231" s="424"/>
      <c r="X231" s="425"/>
    </row>
    <row r="232" spans="3:24" ht="63" customHeight="1" thickBot="1" x14ac:dyDescent="0.3">
      <c r="C232" s="1907"/>
      <c r="D232" s="1887"/>
      <c r="E232" s="2476"/>
      <c r="F232" s="2477"/>
      <c r="G232" s="2476"/>
      <c r="H232" s="2476"/>
      <c r="I232" s="2473"/>
      <c r="J232" s="520" t="s">
        <v>1214</v>
      </c>
      <c r="K232" s="522">
        <v>43449</v>
      </c>
      <c r="L232" s="2487"/>
      <c r="M232" s="423"/>
      <c r="N232" s="424"/>
      <c r="O232" s="424"/>
      <c r="P232" s="424"/>
      <c r="Q232" s="424"/>
      <c r="R232" s="424"/>
      <c r="S232" s="424"/>
      <c r="T232" s="424"/>
      <c r="U232" s="424"/>
      <c r="V232" s="424"/>
      <c r="W232" s="424"/>
      <c r="X232" s="425"/>
    </row>
    <row r="233" spans="3:24" ht="63" customHeight="1" thickBot="1" x14ac:dyDescent="0.3">
      <c r="C233" s="1907"/>
      <c r="D233" s="1887"/>
      <c r="E233" s="2476"/>
      <c r="F233" s="2477"/>
      <c r="G233" s="2476"/>
      <c r="H233" s="2476"/>
      <c r="I233" s="2473"/>
      <c r="J233" s="520" t="s">
        <v>1215</v>
      </c>
      <c r="K233" s="522">
        <v>43465</v>
      </c>
      <c r="L233" s="2487"/>
      <c r="M233" s="423"/>
      <c r="N233" s="424"/>
      <c r="O233" s="424"/>
      <c r="P233" s="424"/>
      <c r="Q233" s="424"/>
      <c r="R233" s="424"/>
      <c r="S233" s="424"/>
      <c r="T233" s="424"/>
      <c r="U233" s="424"/>
      <c r="V233" s="424"/>
      <c r="W233" s="424"/>
      <c r="X233" s="425"/>
    </row>
    <row r="234" spans="3:24" ht="36.75" customHeight="1" thickBot="1" x14ac:dyDescent="0.3">
      <c r="C234" s="1907"/>
      <c r="D234" s="331" t="s">
        <v>67</v>
      </c>
      <c r="E234" s="523" t="s">
        <v>46</v>
      </c>
      <c r="F234" s="524">
        <v>0.8</v>
      </c>
      <c r="G234" s="525" t="s">
        <v>45</v>
      </c>
      <c r="H234" s="525" t="s">
        <v>45</v>
      </c>
      <c r="I234" s="2473"/>
      <c r="J234" s="500"/>
      <c r="K234" s="331"/>
      <c r="L234" s="501"/>
      <c r="M234" s="423"/>
      <c r="N234" s="424"/>
      <c r="O234" s="424"/>
      <c r="P234" s="424"/>
      <c r="Q234" s="424"/>
      <c r="R234" s="424"/>
      <c r="S234" s="424"/>
      <c r="T234" s="424"/>
      <c r="U234" s="424"/>
      <c r="V234" s="424"/>
      <c r="W234" s="424"/>
      <c r="X234" s="425"/>
    </row>
    <row r="235" spans="3:24" ht="55.5" customHeight="1" thickBot="1" x14ac:dyDescent="0.3">
      <c r="C235" s="1908"/>
      <c r="D235" s="331" t="s">
        <v>68</v>
      </c>
      <c r="E235" s="523" t="s">
        <v>44</v>
      </c>
      <c r="F235" s="524">
        <v>1</v>
      </c>
      <c r="G235" s="525" t="s">
        <v>43</v>
      </c>
      <c r="H235" s="525" t="s">
        <v>43</v>
      </c>
      <c r="I235" s="2473"/>
      <c r="J235" s="500"/>
      <c r="K235" s="331"/>
      <c r="L235" s="501"/>
      <c r="M235" s="426"/>
      <c r="N235" s="427"/>
      <c r="O235" s="427"/>
      <c r="P235" s="427"/>
      <c r="Q235" s="427"/>
      <c r="R235" s="427"/>
      <c r="S235" s="427"/>
      <c r="T235" s="427"/>
      <c r="U235" s="427"/>
      <c r="V235" s="427"/>
      <c r="W235" s="427"/>
      <c r="X235" s="428"/>
    </row>
    <row r="236" spans="3:24" ht="38.25" customHeight="1" thickBot="1" x14ac:dyDescent="0.3">
      <c r="C236" s="2467" t="s">
        <v>1303</v>
      </c>
      <c r="D236" s="539" t="s">
        <v>50</v>
      </c>
      <c r="E236" s="540" t="s">
        <v>76</v>
      </c>
      <c r="F236" s="561" t="s">
        <v>1290</v>
      </c>
      <c r="G236" s="562" t="s">
        <v>1409</v>
      </c>
      <c r="H236" s="562" t="s">
        <v>77</v>
      </c>
      <c r="I236" s="539" t="s">
        <v>1410</v>
      </c>
      <c r="J236" s="539"/>
      <c r="K236" s="563"/>
      <c r="L236" s="564"/>
      <c r="M236" s="528"/>
      <c r="N236" s="529"/>
      <c r="O236" s="529"/>
      <c r="P236" s="529"/>
      <c r="Q236" s="529"/>
      <c r="R236" s="529"/>
      <c r="S236" s="529"/>
      <c r="T236" s="529"/>
      <c r="U236" s="529"/>
      <c r="V236" s="529"/>
      <c r="W236" s="529"/>
      <c r="X236" s="530"/>
    </row>
    <row r="237" spans="3:24" ht="26.25" thickBot="1" x14ac:dyDescent="0.3">
      <c r="C237" s="2468"/>
      <c r="D237" s="540" t="s">
        <v>50</v>
      </c>
      <c r="E237" s="540" t="s">
        <v>54</v>
      </c>
      <c r="F237" s="540"/>
      <c r="G237" s="540" t="s">
        <v>38</v>
      </c>
      <c r="H237" s="539" t="s">
        <v>37</v>
      </c>
      <c r="I237" s="539" t="s">
        <v>66</v>
      </c>
      <c r="J237" s="539"/>
      <c r="K237" s="563"/>
      <c r="L237" s="564"/>
      <c r="M237" s="565"/>
      <c r="N237" s="566"/>
      <c r="O237" s="566"/>
      <c r="P237" s="566"/>
      <c r="Q237" s="566"/>
      <c r="R237" s="566"/>
      <c r="S237" s="566"/>
      <c r="T237" s="566"/>
      <c r="U237" s="566"/>
      <c r="V237" s="566"/>
      <c r="W237" s="566"/>
      <c r="X237" s="567"/>
    </row>
    <row r="238" spans="3:24" ht="26.25" thickBot="1" x14ac:dyDescent="0.3">
      <c r="C238" s="2469"/>
      <c r="D238" s="540" t="s">
        <v>50</v>
      </c>
      <c r="E238" s="540" t="s">
        <v>54</v>
      </c>
      <c r="F238" s="540"/>
      <c r="G238" s="540" t="s">
        <v>1293</v>
      </c>
      <c r="H238" s="539" t="s">
        <v>1294</v>
      </c>
      <c r="I238" s="539" t="s">
        <v>66</v>
      </c>
      <c r="J238" s="539"/>
      <c r="K238" s="563"/>
      <c r="L238" s="564"/>
      <c r="M238" s="528"/>
      <c r="N238" s="529"/>
      <c r="O238" s="529"/>
      <c r="P238" s="529"/>
      <c r="Q238" s="529"/>
      <c r="R238" s="529"/>
      <c r="S238" s="529"/>
      <c r="T238" s="529"/>
      <c r="U238" s="529"/>
      <c r="V238" s="529"/>
      <c r="W238" s="529"/>
      <c r="X238" s="530"/>
    </row>
    <row r="239" spans="3:24" x14ac:dyDescent="0.3">
      <c r="C239" s="341" t="s">
        <v>1364</v>
      </c>
      <c r="D239" s="19"/>
      <c r="E239" s="19"/>
      <c r="F239" s="20"/>
      <c r="G239" s="20"/>
      <c r="H239" s="20"/>
      <c r="I239" s="20"/>
      <c r="J239" s="336"/>
      <c r="K239" s="18"/>
      <c r="M239" s="408"/>
      <c r="N239" s="408"/>
      <c r="O239" s="408"/>
      <c r="P239" s="408"/>
      <c r="Q239" s="408"/>
      <c r="R239" s="408"/>
      <c r="S239" s="408"/>
      <c r="T239" s="408"/>
      <c r="U239" s="408"/>
      <c r="V239" s="408"/>
      <c r="W239" s="408"/>
    </row>
    <row r="240" spans="3:24" x14ac:dyDescent="0.3">
      <c r="C240" s="341"/>
      <c r="D240" s="19"/>
      <c r="E240" s="19"/>
      <c r="F240" s="20"/>
      <c r="G240" s="20"/>
      <c r="H240" s="20"/>
      <c r="I240" s="20"/>
    </row>
  </sheetData>
  <mergeCells count="464">
    <mergeCell ref="V38:V39"/>
    <mergeCell ref="W38:W39"/>
    <mergeCell ref="X38:X39"/>
    <mergeCell ref="Y42:Y44"/>
    <mergeCell ref="Y45:Y47"/>
    <mergeCell ref="Y48:Y49"/>
    <mergeCell ref="R38:R39"/>
    <mergeCell ref="S38:S39"/>
    <mergeCell ref="T38:T39"/>
    <mergeCell ref="U38:U39"/>
    <mergeCell ref="I170:I172"/>
    <mergeCell ref="I50:I52"/>
    <mergeCell ref="L59:L61"/>
    <mergeCell ref="L98:L101"/>
    <mergeCell ref="L102:L105"/>
    <mergeCell ref="L90:L93"/>
    <mergeCell ref="M38:M39"/>
    <mergeCell ref="N38:N39"/>
    <mergeCell ref="O38:O39"/>
    <mergeCell ref="I45:I47"/>
    <mergeCell ref="L45:L47"/>
    <mergeCell ref="L65:L70"/>
    <mergeCell ref="I53:I54"/>
    <mergeCell ref="I55:I58"/>
    <mergeCell ref="L82:L84"/>
    <mergeCell ref="J85:J86"/>
    <mergeCell ref="L85:L87"/>
    <mergeCell ref="L118:L119"/>
    <mergeCell ref="L107:L108"/>
    <mergeCell ref="I137:I138"/>
    <mergeCell ref="L137:L138"/>
    <mergeCell ref="L127:L128"/>
    <mergeCell ref="I129:I134"/>
    <mergeCell ref="L129:L134"/>
    <mergeCell ref="P38:P39"/>
    <mergeCell ref="Q38:Q39"/>
    <mergeCell ref="L94:L97"/>
    <mergeCell ref="L115:L117"/>
    <mergeCell ref="L42:L44"/>
    <mergeCell ref="L62:L64"/>
    <mergeCell ref="C1:I1"/>
    <mergeCell ref="C4:C7"/>
    <mergeCell ref="D4:D7"/>
    <mergeCell ref="E4:E7"/>
    <mergeCell ref="F4:F7"/>
    <mergeCell ref="G4:G7"/>
    <mergeCell ref="H4:H7"/>
    <mergeCell ref="I4:I7"/>
    <mergeCell ref="C9:C20"/>
    <mergeCell ref="D9:D20"/>
    <mergeCell ref="E9:E12"/>
    <mergeCell ref="F9:F12"/>
    <mergeCell ref="G9:G12"/>
    <mergeCell ref="H9:H12"/>
    <mergeCell ref="E15:E17"/>
    <mergeCell ref="F15:F17"/>
    <mergeCell ref="G15:G17"/>
    <mergeCell ref="I9:I12"/>
    <mergeCell ref="H170:H172"/>
    <mergeCell ref="G170:G172"/>
    <mergeCell ref="E170:E172"/>
    <mergeCell ref="F170:F172"/>
    <mergeCell ref="D170:D172"/>
    <mergeCell ref="D74:D79"/>
    <mergeCell ref="E74:E79"/>
    <mergeCell ref="F74:F79"/>
    <mergeCell ref="G74:G79"/>
    <mergeCell ref="H98:H101"/>
    <mergeCell ref="D102:D105"/>
    <mergeCell ref="E102:E105"/>
    <mergeCell ref="F102:F105"/>
    <mergeCell ref="G102:G105"/>
    <mergeCell ref="H102:H105"/>
    <mergeCell ref="H115:H117"/>
    <mergeCell ref="G107:G108"/>
    <mergeCell ref="H107:H108"/>
    <mergeCell ref="D118:D119"/>
    <mergeCell ref="E118:E119"/>
    <mergeCell ref="F118:F119"/>
    <mergeCell ref="G118:G119"/>
    <mergeCell ref="H118:H119"/>
    <mergeCell ref="D109:D114"/>
    <mergeCell ref="E13:E14"/>
    <mergeCell ref="F13:F14"/>
    <mergeCell ref="G13:G14"/>
    <mergeCell ref="H13:H14"/>
    <mergeCell ref="I13:I14"/>
    <mergeCell ref="H15:H17"/>
    <mergeCell ref="I15:I17"/>
    <mergeCell ref="E18:E20"/>
    <mergeCell ref="F18:F20"/>
    <mergeCell ref="G18:G20"/>
    <mergeCell ref="H18:H20"/>
    <mergeCell ref="I18:I20"/>
    <mergeCell ref="I21:I22"/>
    <mergeCell ref="J21:J22"/>
    <mergeCell ref="L21:L22"/>
    <mergeCell ref="E23:E26"/>
    <mergeCell ref="F23:F26"/>
    <mergeCell ref="G23:G26"/>
    <mergeCell ref="H23:H26"/>
    <mergeCell ref="I23:I26"/>
    <mergeCell ref="J23:J26"/>
    <mergeCell ref="L23:L26"/>
    <mergeCell ref="E21:E22"/>
    <mergeCell ref="F21:F22"/>
    <mergeCell ref="G21:G22"/>
    <mergeCell ref="H21:H22"/>
    <mergeCell ref="G27:G31"/>
    <mergeCell ref="C36:C49"/>
    <mergeCell ref="D36:D49"/>
    <mergeCell ref="E36:E37"/>
    <mergeCell ref="F36:F37"/>
    <mergeCell ref="G36:G37"/>
    <mergeCell ref="C32:C35"/>
    <mergeCell ref="C21:C31"/>
    <mergeCell ref="D21:D26"/>
    <mergeCell ref="D27:D31"/>
    <mergeCell ref="E27:E31"/>
    <mergeCell ref="F27:F31"/>
    <mergeCell ref="D32:D35"/>
    <mergeCell ref="E32:E35"/>
    <mergeCell ref="F32:F35"/>
    <mergeCell ref="G32:G35"/>
    <mergeCell ref="H32:H35"/>
    <mergeCell ref="H27:H31"/>
    <mergeCell ref="I27:I31"/>
    <mergeCell ref="J27:J31"/>
    <mergeCell ref="L27:L31"/>
    <mergeCell ref="I32:I35"/>
    <mergeCell ref="L32:L35"/>
    <mergeCell ref="I48:I49"/>
    <mergeCell ref="L48:L49"/>
    <mergeCell ref="L36:L37"/>
    <mergeCell ref="E38:E39"/>
    <mergeCell ref="F38:F39"/>
    <mergeCell ref="G38:G39"/>
    <mergeCell ref="H38:H39"/>
    <mergeCell ref="I38:I39"/>
    <mergeCell ref="L38:L39"/>
    <mergeCell ref="E42:E44"/>
    <mergeCell ref="F42:F44"/>
    <mergeCell ref="G42:G44"/>
    <mergeCell ref="H42:H44"/>
    <mergeCell ref="I42:I44"/>
    <mergeCell ref="H36:H37"/>
    <mergeCell ref="I36:I37"/>
    <mergeCell ref="J38:J39"/>
    <mergeCell ref="H50:H52"/>
    <mergeCell ref="D55:D58"/>
    <mergeCell ref="E55:E58"/>
    <mergeCell ref="F55:F58"/>
    <mergeCell ref="G55:G58"/>
    <mergeCell ref="E45:E47"/>
    <mergeCell ref="F45:F47"/>
    <mergeCell ref="G45:G47"/>
    <mergeCell ref="H45:H47"/>
    <mergeCell ref="H53:H54"/>
    <mergeCell ref="H55:H58"/>
    <mergeCell ref="E48:E49"/>
    <mergeCell ref="F48:F49"/>
    <mergeCell ref="G48:G49"/>
    <mergeCell ref="H48:H49"/>
    <mergeCell ref="D53:D54"/>
    <mergeCell ref="E53:E54"/>
    <mergeCell ref="F53:F54"/>
    <mergeCell ref="G53:G54"/>
    <mergeCell ref="E59:E61"/>
    <mergeCell ref="F59:F61"/>
    <mergeCell ref="G59:G61"/>
    <mergeCell ref="F65:F70"/>
    <mergeCell ref="G65:G70"/>
    <mergeCell ref="H59:H61"/>
    <mergeCell ref="I59:I61"/>
    <mergeCell ref="C50:C58"/>
    <mergeCell ref="D50:D52"/>
    <mergeCell ref="E50:E52"/>
    <mergeCell ref="F50:F52"/>
    <mergeCell ref="G50:G52"/>
    <mergeCell ref="C74:C81"/>
    <mergeCell ref="I74:I81"/>
    <mergeCell ref="D80:D81"/>
    <mergeCell ref="E80:E81"/>
    <mergeCell ref="F80:F81"/>
    <mergeCell ref="G80:G81"/>
    <mergeCell ref="H80:H81"/>
    <mergeCell ref="C59:C70"/>
    <mergeCell ref="D59:D70"/>
    <mergeCell ref="E65:E70"/>
    <mergeCell ref="H71:H73"/>
    <mergeCell ref="I71:I73"/>
    <mergeCell ref="E62:E64"/>
    <mergeCell ref="F62:F64"/>
    <mergeCell ref="G62:G64"/>
    <mergeCell ref="H62:H64"/>
    <mergeCell ref="I62:I64"/>
    <mergeCell ref="H65:H70"/>
    <mergeCell ref="I65:I70"/>
    <mergeCell ref="H74:H79"/>
    <mergeCell ref="C82:C87"/>
    <mergeCell ref="D82:D84"/>
    <mergeCell ref="E82:E84"/>
    <mergeCell ref="F82:F87"/>
    <mergeCell ref="G82:G84"/>
    <mergeCell ref="H82:H84"/>
    <mergeCell ref="D85:D87"/>
    <mergeCell ref="E85:E87"/>
    <mergeCell ref="G85:G87"/>
    <mergeCell ref="H85:H87"/>
    <mergeCell ref="C71:C73"/>
    <mergeCell ref="D71:D73"/>
    <mergeCell ref="E71:E73"/>
    <mergeCell ref="F71:F73"/>
    <mergeCell ref="G71:G73"/>
    <mergeCell ref="C88:C119"/>
    <mergeCell ref="D88:D89"/>
    <mergeCell ref="E88:E89"/>
    <mergeCell ref="F88:F89"/>
    <mergeCell ref="G88:G89"/>
    <mergeCell ref="H88:H89"/>
    <mergeCell ref="D98:D101"/>
    <mergeCell ref="E98:E101"/>
    <mergeCell ref="F98:F101"/>
    <mergeCell ref="G98:G101"/>
    <mergeCell ref="D94:D97"/>
    <mergeCell ref="E94:E97"/>
    <mergeCell ref="F94:F97"/>
    <mergeCell ref="G94:G97"/>
    <mergeCell ref="H94:H97"/>
    <mergeCell ref="D90:D93"/>
    <mergeCell ref="E90:E93"/>
    <mergeCell ref="F90:F93"/>
    <mergeCell ref="G90:G93"/>
    <mergeCell ref="H90:H93"/>
    <mergeCell ref="D115:D117"/>
    <mergeCell ref="E115:E117"/>
    <mergeCell ref="F115:F117"/>
    <mergeCell ref="G115:G117"/>
    <mergeCell ref="D107:D108"/>
    <mergeCell ref="E107:E108"/>
    <mergeCell ref="F107:F108"/>
    <mergeCell ref="D120:D124"/>
    <mergeCell ref="E120:E124"/>
    <mergeCell ref="F120:F124"/>
    <mergeCell ref="G120:G124"/>
    <mergeCell ref="H120:H124"/>
    <mergeCell ref="I120:I124"/>
    <mergeCell ref="E129:E134"/>
    <mergeCell ref="F129:F134"/>
    <mergeCell ref="G129:G134"/>
    <mergeCell ref="H129:H134"/>
    <mergeCell ref="E109:E114"/>
    <mergeCell ref="F109:F114"/>
    <mergeCell ref="G109:G114"/>
    <mergeCell ref="H109:H114"/>
    <mergeCell ref="L109:L114"/>
    <mergeCell ref="L120:L124"/>
    <mergeCell ref="L125:L126"/>
    <mergeCell ref="E127:E128"/>
    <mergeCell ref="I125:I126"/>
    <mergeCell ref="I127:I128"/>
    <mergeCell ref="I135:I136"/>
    <mergeCell ref="L135:L136"/>
    <mergeCell ref="E143:E145"/>
    <mergeCell ref="F143:F145"/>
    <mergeCell ref="G143:G145"/>
    <mergeCell ref="H143:H145"/>
    <mergeCell ref="I143:I145"/>
    <mergeCell ref="L143:L145"/>
    <mergeCell ref="E139:E142"/>
    <mergeCell ref="F139:F142"/>
    <mergeCell ref="G139:G142"/>
    <mergeCell ref="F127:F128"/>
    <mergeCell ref="G127:G128"/>
    <mergeCell ref="H127:H128"/>
    <mergeCell ref="E125:E126"/>
    <mergeCell ref="F125:F126"/>
    <mergeCell ref="G125:G126"/>
    <mergeCell ref="H125:H126"/>
    <mergeCell ref="G135:G136"/>
    <mergeCell ref="H135:H136"/>
    <mergeCell ref="I150:I153"/>
    <mergeCell ref="L150:L153"/>
    <mergeCell ref="D146:D149"/>
    <mergeCell ref="E146:E149"/>
    <mergeCell ref="F146:F149"/>
    <mergeCell ref="G146:G149"/>
    <mergeCell ref="H146:H149"/>
    <mergeCell ref="H139:H142"/>
    <mergeCell ref="I139:I142"/>
    <mergeCell ref="L139:L142"/>
    <mergeCell ref="I146:I149"/>
    <mergeCell ref="L146:L149"/>
    <mergeCell ref="D150:D153"/>
    <mergeCell ref="E150:E153"/>
    <mergeCell ref="F150:F153"/>
    <mergeCell ref="G150:G153"/>
    <mergeCell ref="H150:H153"/>
    <mergeCell ref="D125:D145"/>
    <mergeCell ref="E137:E138"/>
    <mergeCell ref="F137:F138"/>
    <mergeCell ref="G137:G138"/>
    <mergeCell ref="H137:H138"/>
    <mergeCell ref="E135:E136"/>
    <mergeCell ref="F135:F136"/>
    <mergeCell ref="C154:C158"/>
    <mergeCell ref="D154:D158"/>
    <mergeCell ref="E154:E156"/>
    <mergeCell ref="F154:F156"/>
    <mergeCell ref="G154:G156"/>
    <mergeCell ref="H154:H156"/>
    <mergeCell ref="I154:I158"/>
    <mergeCell ref="L154:L156"/>
    <mergeCell ref="E157:E158"/>
    <mergeCell ref="F157:F158"/>
    <mergeCell ref="G157:G158"/>
    <mergeCell ref="H157:H158"/>
    <mergeCell ref="L157:L158"/>
    <mergeCell ref="E159:E161"/>
    <mergeCell ref="F159:F161"/>
    <mergeCell ref="G159:G161"/>
    <mergeCell ref="H159:H161"/>
    <mergeCell ref="I165:I167"/>
    <mergeCell ref="L165:L167"/>
    <mergeCell ref="I159:I161"/>
    <mergeCell ref="L159:L161"/>
    <mergeCell ref="D162:D163"/>
    <mergeCell ref="E162:E163"/>
    <mergeCell ref="F162:F163"/>
    <mergeCell ref="G162:G163"/>
    <mergeCell ref="H162:H163"/>
    <mergeCell ref="I162:I163"/>
    <mergeCell ref="L162:L163"/>
    <mergeCell ref="D159:D161"/>
    <mergeCell ref="L168:L169"/>
    <mergeCell ref="D165:D167"/>
    <mergeCell ref="E165:E167"/>
    <mergeCell ref="F165:F167"/>
    <mergeCell ref="G165:G167"/>
    <mergeCell ref="H165:H167"/>
    <mergeCell ref="D168:D169"/>
    <mergeCell ref="E168:E169"/>
    <mergeCell ref="F168:F169"/>
    <mergeCell ref="G168:G169"/>
    <mergeCell ref="H168:H169"/>
    <mergeCell ref="I168:I169"/>
    <mergeCell ref="E173:E175"/>
    <mergeCell ref="F173:F175"/>
    <mergeCell ref="G173:G175"/>
    <mergeCell ref="H173:H175"/>
    <mergeCell ref="I180:I182"/>
    <mergeCell ref="L180:L182"/>
    <mergeCell ref="I173:I175"/>
    <mergeCell ref="L173:L175"/>
    <mergeCell ref="D176:D179"/>
    <mergeCell ref="E176:E179"/>
    <mergeCell ref="F176:F179"/>
    <mergeCell ref="G176:G179"/>
    <mergeCell ref="H176:H179"/>
    <mergeCell ref="I176:I179"/>
    <mergeCell ref="L176:L179"/>
    <mergeCell ref="D173:D175"/>
    <mergeCell ref="L183:L187"/>
    <mergeCell ref="D180:D182"/>
    <mergeCell ref="E180:E182"/>
    <mergeCell ref="F180:F182"/>
    <mergeCell ref="G180:G182"/>
    <mergeCell ref="H180:H182"/>
    <mergeCell ref="D183:D187"/>
    <mergeCell ref="E183:E187"/>
    <mergeCell ref="F183:F187"/>
    <mergeCell ref="G183:G187"/>
    <mergeCell ref="H183:H187"/>
    <mergeCell ref="I183:I187"/>
    <mergeCell ref="F190:F192"/>
    <mergeCell ref="G190:G192"/>
    <mergeCell ref="H190:H192"/>
    <mergeCell ref="I197:I198"/>
    <mergeCell ref="L197:L198"/>
    <mergeCell ref="D199:D205"/>
    <mergeCell ref="E199:E205"/>
    <mergeCell ref="F199:F205"/>
    <mergeCell ref="G199:G205"/>
    <mergeCell ref="H199:H205"/>
    <mergeCell ref="L190:L192"/>
    <mergeCell ref="D193:D196"/>
    <mergeCell ref="E193:E196"/>
    <mergeCell ref="F193:F196"/>
    <mergeCell ref="G193:G196"/>
    <mergeCell ref="H193:H196"/>
    <mergeCell ref="I193:I196"/>
    <mergeCell ref="L193:L196"/>
    <mergeCell ref="D190:D192"/>
    <mergeCell ref="E190:E192"/>
    <mergeCell ref="I190:I191"/>
    <mergeCell ref="L208:L212"/>
    <mergeCell ref="D206:D207"/>
    <mergeCell ref="I199:I205"/>
    <mergeCell ref="L199:L205"/>
    <mergeCell ref="D197:D198"/>
    <mergeCell ref="E197:E198"/>
    <mergeCell ref="F197:F198"/>
    <mergeCell ref="G197:G198"/>
    <mergeCell ref="H197:H198"/>
    <mergeCell ref="L229:L233"/>
    <mergeCell ref="D225:D228"/>
    <mergeCell ref="E225:E228"/>
    <mergeCell ref="F225:F228"/>
    <mergeCell ref="G225:G228"/>
    <mergeCell ref="H225:H228"/>
    <mergeCell ref="E206:E207"/>
    <mergeCell ref="F206:F207"/>
    <mergeCell ref="G206:G207"/>
    <mergeCell ref="H206:H207"/>
    <mergeCell ref="L213:L215"/>
    <mergeCell ref="D216:D218"/>
    <mergeCell ref="E216:E218"/>
    <mergeCell ref="F216:F218"/>
    <mergeCell ref="G216:G218"/>
    <mergeCell ref="H216:H218"/>
    <mergeCell ref="I206:I207"/>
    <mergeCell ref="L206:L207"/>
    <mergeCell ref="D208:D212"/>
    <mergeCell ref="E208:E212"/>
    <mergeCell ref="F208:F212"/>
    <mergeCell ref="G208:G212"/>
    <mergeCell ref="H208:H212"/>
    <mergeCell ref="I208:I212"/>
    <mergeCell ref="G222:G224"/>
    <mergeCell ref="H222:H224"/>
    <mergeCell ref="L222:L224"/>
    <mergeCell ref="D219:D221"/>
    <mergeCell ref="E219:E221"/>
    <mergeCell ref="F219:F221"/>
    <mergeCell ref="L216:L218"/>
    <mergeCell ref="D213:D215"/>
    <mergeCell ref="E213:E215"/>
    <mergeCell ref="F213:F215"/>
    <mergeCell ref="G213:G215"/>
    <mergeCell ref="H213:H215"/>
    <mergeCell ref="C236:C238"/>
    <mergeCell ref="M1:X1"/>
    <mergeCell ref="I82:I87"/>
    <mergeCell ref="I88:I119"/>
    <mergeCell ref="I213:I235"/>
    <mergeCell ref="L225:L228"/>
    <mergeCell ref="D229:D233"/>
    <mergeCell ref="E229:E233"/>
    <mergeCell ref="F229:F233"/>
    <mergeCell ref="G229:G233"/>
    <mergeCell ref="G219:G221"/>
    <mergeCell ref="H219:H221"/>
    <mergeCell ref="C159:C179"/>
    <mergeCell ref="C188:C192"/>
    <mergeCell ref="C120:C145"/>
    <mergeCell ref="C146:C153"/>
    <mergeCell ref="C180:C187"/>
    <mergeCell ref="C193:C212"/>
    <mergeCell ref="C213:C235"/>
    <mergeCell ref="H229:H233"/>
    <mergeCell ref="L219:L221"/>
    <mergeCell ref="D222:D224"/>
    <mergeCell ref="E222:E224"/>
    <mergeCell ref="F222:F224"/>
  </mergeCells>
  <pageMargins left="0.70866141732283472" right="0.70866141732283472" top="0.74803149606299213" bottom="0.74803149606299213" header="0.31496062992125984" footer="0.31496062992125984"/>
  <pageSetup scale="2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F42:O57"/>
  <sheetViews>
    <sheetView topLeftCell="A30" workbookViewId="0">
      <selection activeCell="C57" sqref="C57"/>
    </sheetView>
  </sheetViews>
  <sheetFormatPr baseColWidth="10" defaultRowHeight="15" x14ac:dyDescent="0.25"/>
  <sheetData>
    <row r="42" spans="6:15" x14ac:dyDescent="0.25">
      <c r="F42" s="559" t="s">
        <v>1459</v>
      </c>
      <c r="G42" s="511"/>
    </row>
    <row r="43" spans="6:15" ht="68.25" customHeight="1" x14ac:dyDescent="0.25">
      <c r="F43" s="2594" t="s">
        <v>1458</v>
      </c>
      <c r="G43" s="2594"/>
      <c r="H43" s="2594"/>
      <c r="I43" s="2594"/>
      <c r="J43" s="2594"/>
      <c r="K43" s="2594"/>
      <c r="L43" s="2594"/>
      <c r="M43" s="2594"/>
      <c r="N43" s="2594"/>
      <c r="O43" s="2594"/>
    </row>
    <row r="57" ht="48" customHeight="1" x14ac:dyDescent="0.25"/>
  </sheetData>
  <mergeCells count="1">
    <mergeCell ref="F43:O4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G23"/>
  <sheetViews>
    <sheetView showGridLines="0" zoomScaleNormal="100" workbookViewId="0">
      <selection activeCell="E6" sqref="E6"/>
    </sheetView>
  </sheetViews>
  <sheetFormatPr baseColWidth="10" defaultRowHeight="15" x14ac:dyDescent="0.25"/>
  <cols>
    <col min="2" max="2" width="20.140625" customWidth="1"/>
    <col min="3" max="3" width="19.42578125" customWidth="1"/>
    <col min="4" max="4" width="52.7109375" customWidth="1"/>
    <col min="5" max="5" width="28.42578125" customWidth="1"/>
    <col min="6" max="6" width="64.7109375" customWidth="1"/>
  </cols>
  <sheetData>
    <row r="1" spans="1:7" ht="15.75" x14ac:dyDescent="0.25">
      <c r="A1" s="2595" t="s">
        <v>343</v>
      </c>
      <c r="B1" s="2596"/>
      <c r="C1" s="2596"/>
      <c r="D1" s="2596"/>
      <c r="E1" s="2596"/>
      <c r="F1" s="2597"/>
    </row>
    <row r="2" spans="1:7" x14ac:dyDescent="0.25">
      <c r="A2" s="2598" t="s">
        <v>344</v>
      </c>
      <c r="B2" s="2598"/>
      <c r="C2" s="2598" t="s">
        <v>345</v>
      </c>
      <c r="D2" s="2598"/>
      <c r="E2" s="466" t="s">
        <v>346</v>
      </c>
      <c r="F2" s="466" t="s">
        <v>347</v>
      </c>
    </row>
    <row r="3" spans="1:7" ht="75" x14ac:dyDescent="0.25">
      <c r="A3" s="467">
        <v>1</v>
      </c>
      <c r="B3" s="468" t="s">
        <v>348</v>
      </c>
      <c r="C3" s="469" t="s">
        <v>349</v>
      </c>
      <c r="D3" s="470"/>
      <c r="E3" s="471">
        <f>15/22</f>
        <v>0.68181818181818177</v>
      </c>
      <c r="F3" s="472" t="s">
        <v>1365</v>
      </c>
    </row>
    <row r="4" spans="1:7" ht="60" x14ac:dyDescent="0.25">
      <c r="A4" s="473">
        <v>1</v>
      </c>
      <c r="B4" s="474" t="s">
        <v>348</v>
      </c>
      <c r="C4" s="475" t="s">
        <v>350</v>
      </c>
      <c r="D4" s="476"/>
      <c r="E4" s="477">
        <f>+(11/553159)*1000000</f>
        <v>19.885783291964881</v>
      </c>
      <c r="F4" s="478" t="s">
        <v>1366</v>
      </c>
    </row>
    <row r="5" spans="1:7" ht="105" x14ac:dyDescent="0.25">
      <c r="A5" s="473">
        <v>2</v>
      </c>
      <c r="B5" s="474" t="s">
        <v>351</v>
      </c>
      <c r="C5" s="475" t="s">
        <v>352</v>
      </c>
      <c r="D5" s="479"/>
      <c r="E5" s="480"/>
      <c r="F5" s="481" t="s">
        <v>1367</v>
      </c>
    </row>
    <row r="6" spans="1:7" ht="105" x14ac:dyDescent="0.25">
      <c r="A6" s="473">
        <v>2</v>
      </c>
      <c r="B6" s="474" t="s">
        <v>351</v>
      </c>
      <c r="C6" s="475" t="s">
        <v>354</v>
      </c>
      <c r="D6" s="479"/>
      <c r="E6" s="480">
        <v>0.7</v>
      </c>
      <c r="F6" s="481" t="s">
        <v>1368</v>
      </c>
    </row>
    <row r="7" spans="1:7" ht="60" x14ac:dyDescent="0.25">
      <c r="A7" s="473">
        <v>3</v>
      </c>
      <c r="B7" s="474" t="s">
        <v>355</v>
      </c>
      <c r="C7" s="475" t="s">
        <v>356</v>
      </c>
      <c r="D7" s="479"/>
      <c r="E7" s="480">
        <v>0</v>
      </c>
      <c r="F7" s="481" t="s">
        <v>1369</v>
      </c>
    </row>
    <row r="8" spans="1:7" ht="105" x14ac:dyDescent="0.25">
      <c r="A8" s="473">
        <v>3</v>
      </c>
      <c r="B8" s="474" t="s">
        <v>355</v>
      </c>
      <c r="C8" s="475" t="s">
        <v>357</v>
      </c>
      <c r="D8" s="479"/>
      <c r="E8" s="479"/>
      <c r="F8" s="481" t="s">
        <v>1370</v>
      </c>
    </row>
    <row r="9" spans="1:7" ht="105" x14ac:dyDescent="0.25">
      <c r="A9" s="473">
        <v>4</v>
      </c>
      <c r="B9" s="474" t="s">
        <v>358</v>
      </c>
      <c r="C9" s="475" t="s">
        <v>359</v>
      </c>
      <c r="D9" s="479"/>
      <c r="E9" s="480"/>
      <c r="F9" s="481" t="s">
        <v>360</v>
      </c>
    </row>
    <row r="10" spans="1:7" ht="90" x14ac:dyDescent="0.25">
      <c r="A10" s="473">
        <v>4</v>
      </c>
      <c r="B10" s="474" t="s">
        <v>358</v>
      </c>
      <c r="C10" s="475" t="s">
        <v>361</v>
      </c>
      <c r="D10" s="479"/>
      <c r="E10" s="482">
        <v>0.5</v>
      </c>
      <c r="F10" s="483" t="s">
        <v>362</v>
      </c>
    </row>
    <row r="11" spans="1:7" ht="105" x14ac:dyDescent="0.25">
      <c r="A11" s="473">
        <v>5</v>
      </c>
      <c r="B11" s="474" t="s">
        <v>363</v>
      </c>
      <c r="C11" s="475" t="s">
        <v>364</v>
      </c>
      <c r="D11" s="484" t="s">
        <v>365</v>
      </c>
      <c r="E11" s="485" t="s">
        <v>366</v>
      </c>
      <c r="F11" s="484" t="s">
        <v>367</v>
      </c>
    </row>
    <row r="12" spans="1:7" ht="62.25" customHeight="1" x14ac:dyDescent="0.25">
      <c r="A12" s="473">
        <v>5</v>
      </c>
      <c r="B12" s="474" t="s">
        <v>363</v>
      </c>
      <c r="C12" s="475" t="s">
        <v>368</v>
      </c>
      <c r="D12" s="479"/>
      <c r="E12" s="485" t="s">
        <v>369</v>
      </c>
      <c r="F12" s="481" t="s">
        <v>370</v>
      </c>
    </row>
    <row r="13" spans="1:7" ht="60" x14ac:dyDescent="0.25">
      <c r="A13" s="473">
        <v>5</v>
      </c>
      <c r="B13" s="474" t="s">
        <v>363</v>
      </c>
      <c r="C13" s="475" t="s">
        <v>372</v>
      </c>
      <c r="D13" s="479"/>
      <c r="E13" s="486">
        <f>25/32</f>
        <v>0.78125</v>
      </c>
      <c r="F13" s="481" t="s">
        <v>373</v>
      </c>
    </row>
    <row r="14" spans="1:7" ht="75" x14ac:dyDescent="0.25">
      <c r="A14" s="473">
        <v>6</v>
      </c>
      <c r="B14" s="474" t="s">
        <v>374</v>
      </c>
      <c r="C14" s="475" t="s">
        <v>375</v>
      </c>
      <c r="D14" s="476" t="s">
        <v>376</v>
      </c>
      <c r="E14" s="486">
        <v>0.15</v>
      </c>
      <c r="F14" s="481" t="s">
        <v>377</v>
      </c>
    </row>
    <row r="15" spans="1:7" ht="90" x14ac:dyDescent="0.25">
      <c r="A15" s="473">
        <v>6</v>
      </c>
      <c r="B15" s="474" t="s">
        <v>374</v>
      </c>
      <c r="C15" s="475" t="s">
        <v>378</v>
      </c>
      <c r="D15" s="479"/>
      <c r="E15" s="486">
        <v>1.1160000000000001</v>
      </c>
      <c r="F15" s="481" t="s">
        <v>379</v>
      </c>
      <c r="G15" s="487"/>
    </row>
    <row r="16" spans="1:7" ht="75" x14ac:dyDescent="0.25">
      <c r="A16" s="473">
        <v>6</v>
      </c>
      <c r="B16" s="474" t="s">
        <v>374</v>
      </c>
      <c r="C16" s="475" t="s">
        <v>380</v>
      </c>
      <c r="D16" s="479"/>
      <c r="E16" s="486">
        <f>989202000/1281270000</f>
        <v>0.77204804607928068</v>
      </c>
      <c r="F16" s="488" t="s">
        <v>1371</v>
      </c>
    </row>
    <row r="17" spans="1:6" ht="75" x14ac:dyDescent="0.25">
      <c r="A17" s="473">
        <v>6</v>
      </c>
      <c r="B17" s="474" t="s">
        <v>374</v>
      </c>
      <c r="C17" s="475" t="s">
        <v>382</v>
      </c>
      <c r="D17" s="479"/>
      <c r="E17" s="486">
        <v>0.81222499999999997</v>
      </c>
      <c r="F17" s="481" t="s">
        <v>383</v>
      </c>
    </row>
    <row r="18" spans="1:6" ht="60" x14ac:dyDescent="0.25">
      <c r="A18" s="473">
        <v>6</v>
      </c>
      <c r="B18" s="474" t="s">
        <v>374</v>
      </c>
      <c r="C18" s="475" t="s">
        <v>384</v>
      </c>
      <c r="D18" s="479"/>
      <c r="E18" s="480">
        <v>0.52839999999999998</v>
      </c>
      <c r="F18" s="481" t="s">
        <v>385</v>
      </c>
    </row>
    <row r="19" spans="1:6" ht="75" x14ac:dyDescent="0.25">
      <c r="A19" s="473">
        <v>6</v>
      </c>
      <c r="B19" s="474" t="s">
        <v>374</v>
      </c>
      <c r="C19" s="475" t="s">
        <v>386</v>
      </c>
      <c r="D19" s="479"/>
      <c r="E19" s="480">
        <v>0.39</v>
      </c>
      <c r="F19" s="481" t="s">
        <v>387</v>
      </c>
    </row>
    <row r="20" spans="1:6" ht="45" x14ac:dyDescent="0.25">
      <c r="A20" s="473">
        <v>6</v>
      </c>
      <c r="B20" s="474" t="s">
        <v>374</v>
      </c>
      <c r="C20" s="475" t="s">
        <v>388</v>
      </c>
      <c r="D20" s="479"/>
      <c r="E20" s="473">
        <v>20</v>
      </c>
      <c r="F20" s="481" t="s">
        <v>389</v>
      </c>
    </row>
    <row r="21" spans="1:6" ht="45" x14ac:dyDescent="0.25">
      <c r="A21" s="473">
        <v>6</v>
      </c>
      <c r="B21" s="474" t="s">
        <v>374</v>
      </c>
      <c r="C21" s="475" t="s">
        <v>390</v>
      </c>
      <c r="D21" s="479"/>
      <c r="E21" s="480">
        <v>0.75</v>
      </c>
      <c r="F21" s="481" t="s">
        <v>391</v>
      </c>
    </row>
    <row r="22" spans="1:6" ht="45" x14ac:dyDescent="0.25">
      <c r="A22" s="473">
        <v>6</v>
      </c>
      <c r="B22" s="474" t="s">
        <v>374</v>
      </c>
      <c r="C22" s="475" t="s">
        <v>392</v>
      </c>
      <c r="D22" s="479"/>
      <c r="E22" s="480">
        <v>1</v>
      </c>
      <c r="F22" s="481" t="s">
        <v>393</v>
      </c>
    </row>
    <row r="23" spans="1:6" ht="39.75" customHeight="1" x14ac:dyDescent="0.25">
      <c r="A23" s="489">
        <v>6</v>
      </c>
      <c r="B23" s="490" t="s">
        <v>374</v>
      </c>
      <c r="C23" s="491" t="s">
        <v>394</v>
      </c>
      <c r="D23" s="492"/>
      <c r="E23" s="493"/>
      <c r="F23" s="494" t="s">
        <v>395</v>
      </c>
    </row>
  </sheetData>
  <mergeCells count="3">
    <mergeCell ref="A1:F1"/>
    <mergeCell ref="A2:B2"/>
    <mergeCell ref="C2:D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4:I95"/>
  <sheetViews>
    <sheetView workbookViewId="0">
      <selection activeCell="O85" sqref="O85"/>
    </sheetView>
  </sheetViews>
  <sheetFormatPr baseColWidth="10" defaultRowHeight="15" x14ac:dyDescent="0.25"/>
  <cols>
    <col min="1" max="1" width="29.85546875" customWidth="1"/>
    <col min="2" max="2" width="62" customWidth="1"/>
    <col min="3" max="3" width="13.140625" customWidth="1"/>
    <col min="4" max="4" width="15" customWidth="1"/>
    <col min="5" max="5" width="12.42578125" customWidth="1"/>
    <col min="6" max="6" width="12.140625" customWidth="1"/>
    <col min="7" max="7" width="13.42578125" customWidth="1"/>
    <col min="8" max="8" width="15" customWidth="1"/>
    <col min="9" max="9" width="12.42578125" customWidth="1"/>
  </cols>
  <sheetData>
    <row r="4" spans="2:2" ht="15.75" x14ac:dyDescent="0.25">
      <c r="B4" s="366" t="s">
        <v>1295</v>
      </c>
    </row>
    <row r="5" spans="2:2" ht="15.75" x14ac:dyDescent="0.25">
      <c r="B5" s="364"/>
    </row>
    <row r="6" spans="2:2" ht="31.5" x14ac:dyDescent="0.25">
      <c r="B6" s="363" t="s">
        <v>1296</v>
      </c>
    </row>
    <row r="7" spans="2:2" ht="47.25" x14ac:dyDescent="0.25">
      <c r="B7" s="363" t="s">
        <v>1297</v>
      </c>
    </row>
    <row r="8" spans="2:2" ht="15.75" x14ac:dyDescent="0.25">
      <c r="B8" s="364"/>
    </row>
    <row r="9" spans="2:2" ht="31.5" x14ac:dyDescent="0.25">
      <c r="B9" s="365" t="s">
        <v>1298</v>
      </c>
    </row>
    <row r="10" spans="2:2" ht="15.75" x14ac:dyDescent="0.25">
      <c r="B10" s="363"/>
    </row>
    <row r="11" spans="2:2" ht="47.25" x14ac:dyDescent="0.25">
      <c r="B11" s="363" t="s">
        <v>1299</v>
      </c>
    </row>
    <row r="12" spans="2:2" ht="15.75" x14ac:dyDescent="0.25">
      <c r="B12" s="364"/>
    </row>
    <row r="13" spans="2:2" ht="31.5" x14ac:dyDescent="0.25">
      <c r="B13" s="363" t="s">
        <v>1300</v>
      </c>
    </row>
    <row r="14" spans="2:2" ht="15.75" x14ac:dyDescent="0.25">
      <c r="B14" s="363"/>
    </row>
    <row r="15" spans="2:2" ht="15.75" x14ac:dyDescent="0.25">
      <c r="B15" s="363" t="s">
        <v>1301</v>
      </c>
    </row>
    <row r="17" spans="2:2" x14ac:dyDescent="0.25">
      <c r="B17" s="393" t="s">
        <v>1350</v>
      </c>
    </row>
    <row r="18" spans="2:2" ht="5.25" customHeight="1" x14ac:dyDescent="0.25"/>
    <row r="19" spans="2:2" ht="15.75" x14ac:dyDescent="0.25">
      <c r="B19" s="368" t="s">
        <v>1349</v>
      </c>
    </row>
    <row r="20" spans="2:2" ht="15.75" x14ac:dyDescent="0.25">
      <c r="B20" s="367" t="s">
        <v>1311</v>
      </c>
    </row>
    <row r="21" spans="2:2" ht="15.75" x14ac:dyDescent="0.25">
      <c r="B21" s="367" t="s">
        <v>1312</v>
      </c>
    </row>
    <row r="22" spans="2:2" ht="15.75" x14ac:dyDescent="0.25">
      <c r="B22" s="367" t="s">
        <v>1313</v>
      </c>
    </row>
    <row r="23" spans="2:2" ht="15.75" x14ac:dyDescent="0.25">
      <c r="B23" s="367" t="s">
        <v>1314</v>
      </c>
    </row>
    <row r="24" spans="2:2" ht="15.75" x14ac:dyDescent="0.25">
      <c r="B24" s="367" t="s">
        <v>1315</v>
      </c>
    </row>
    <row r="25" spans="2:2" ht="15.75" x14ac:dyDescent="0.25">
      <c r="B25" s="367" t="s">
        <v>1316</v>
      </c>
    </row>
    <row r="26" spans="2:2" ht="15.75" x14ac:dyDescent="0.25">
      <c r="B26" s="367" t="s">
        <v>1317</v>
      </c>
    </row>
    <row r="27" spans="2:2" ht="15.75" x14ac:dyDescent="0.25">
      <c r="B27" s="367" t="s">
        <v>1318</v>
      </c>
    </row>
    <row r="28" spans="2:2" ht="15.75" x14ac:dyDescent="0.25">
      <c r="B28" s="367" t="s">
        <v>1319</v>
      </c>
    </row>
    <row r="29" spans="2:2" ht="15.75" x14ac:dyDescent="0.25">
      <c r="B29" s="367" t="s">
        <v>1320</v>
      </c>
    </row>
    <row r="30" spans="2:2" ht="15.75" x14ac:dyDescent="0.25">
      <c r="B30" s="367" t="s">
        <v>1321</v>
      </c>
    </row>
    <row r="31" spans="2:2" ht="15.75" x14ac:dyDescent="0.25">
      <c r="B31" s="367" t="s">
        <v>1322</v>
      </c>
    </row>
    <row r="32" spans="2:2" ht="15.75" x14ac:dyDescent="0.25">
      <c r="B32" s="367" t="s">
        <v>1323</v>
      </c>
    </row>
    <row r="33" spans="2:9" ht="15.75" x14ac:dyDescent="0.25">
      <c r="B33" s="367" t="s">
        <v>1324</v>
      </c>
    </row>
    <row r="34" spans="2:9" ht="15.75" x14ac:dyDescent="0.25">
      <c r="B34" s="367" t="s">
        <v>1325</v>
      </c>
    </row>
    <row r="35" spans="2:9" ht="15.75" x14ac:dyDescent="0.25">
      <c r="B35" s="367" t="s">
        <v>1326</v>
      </c>
    </row>
    <row r="36" spans="2:9" ht="15.75" thickBot="1" x14ac:dyDescent="0.3">
      <c r="C36" s="2600" t="s">
        <v>1342</v>
      </c>
      <c r="D36" s="2600"/>
      <c r="E36" s="2600"/>
      <c r="F36" s="2600"/>
      <c r="G36" s="2600"/>
      <c r="H36" s="2600"/>
      <c r="I36" s="2600"/>
    </row>
    <row r="37" spans="2:9" ht="38.25" x14ac:dyDescent="0.25">
      <c r="B37" s="380" t="s">
        <v>1327</v>
      </c>
      <c r="C37" s="394" t="s">
        <v>1328</v>
      </c>
      <c r="D37" s="395" t="s">
        <v>1329</v>
      </c>
      <c r="E37" s="395" t="s">
        <v>1330</v>
      </c>
      <c r="F37" s="395" t="s">
        <v>1331</v>
      </c>
      <c r="G37" s="395" t="s">
        <v>1332</v>
      </c>
      <c r="H37" s="395" t="s">
        <v>1333</v>
      </c>
      <c r="I37" s="396" t="s">
        <v>1310</v>
      </c>
    </row>
    <row r="38" spans="2:9" x14ac:dyDescent="0.25">
      <c r="B38" s="371" t="s">
        <v>1302</v>
      </c>
      <c r="C38" s="372"/>
      <c r="D38" s="373" t="s">
        <v>4</v>
      </c>
      <c r="E38" s="373"/>
      <c r="F38" s="373"/>
      <c r="G38" s="373"/>
      <c r="H38" s="373"/>
      <c r="I38" s="374"/>
    </row>
    <row r="39" spans="2:9" x14ac:dyDescent="0.25">
      <c r="B39" s="371" t="s">
        <v>1334</v>
      </c>
      <c r="C39" s="372"/>
      <c r="D39" s="373" t="s">
        <v>4</v>
      </c>
      <c r="E39" s="373" t="s">
        <v>4</v>
      </c>
      <c r="F39" s="373"/>
      <c r="G39" s="373"/>
      <c r="H39" s="373"/>
      <c r="I39" s="374"/>
    </row>
    <row r="40" spans="2:9" x14ac:dyDescent="0.25">
      <c r="B40" s="371" t="s">
        <v>1335</v>
      </c>
      <c r="C40" s="372" t="s">
        <v>4</v>
      </c>
      <c r="D40" s="373"/>
      <c r="E40" s="373"/>
      <c r="F40" s="373"/>
      <c r="G40" s="373"/>
      <c r="H40" s="373"/>
      <c r="I40" s="374"/>
    </row>
    <row r="41" spans="2:9" x14ac:dyDescent="0.25">
      <c r="B41" s="371" t="s">
        <v>1336</v>
      </c>
      <c r="C41" s="372" t="s">
        <v>4</v>
      </c>
      <c r="D41" s="373"/>
      <c r="E41" s="373"/>
      <c r="F41" s="373"/>
      <c r="G41" s="373"/>
      <c r="H41" s="373"/>
      <c r="I41" s="374"/>
    </row>
    <row r="42" spans="2:9" x14ac:dyDescent="0.25">
      <c r="B42" s="371" t="s">
        <v>1303</v>
      </c>
      <c r="C42" s="372"/>
      <c r="D42" s="373"/>
      <c r="E42" s="373"/>
      <c r="F42" s="373"/>
      <c r="G42" s="373" t="s">
        <v>4</v>
      </c>
      <c r="H42" s="373"/>
      <c r="I42" s="374"/>
    </row>
    <row r="43" spans="2:9" x14ac:dyDescent="0.25">
      <c r="B43" s="371" t="s">
        <v>1304</v>
      </c>
      <c r="C43" s="372"/>
      <c r="D43" s="373"/>
      <c r="E43" s="373" t="s">
        <v>4</v>
      </c>
      <c r="F43" s="373"/>
      <c r="G43" s="373"/>
      <c r="H43" s="373"/>
      <c r="I43" s="374"/>
    </row>
    <row r="44" spans="2:9" x14ac:dyDescent="0.25">
      <c r="B44" s="371" t="s">
        <v>1305</v>
      </c>
      <c r="C44" s="372"/>
      <c r="D44" s="373"/>
      <c r="E44" s="373" t="s">
        <v>4</v>
      </c>
      <c r="F44" s="373"/>
      <c r="G44" s="373"/>
      <c r="H44" s="373"/>
      <c r="I44" s="374"/>
    </row>
    <row r="45" spans="2:9" x14ac:dyDescent="0.25">
      <c r="B45" s="375" t="s">
        <v>1306</v>
      </c>
      <c r="C45" s="372"/>
      <c r="D45" s="373"/>
      <c r="E45" s="373" t="s">
        <v>4</v>
      </c>
      <c r="F45" s="373"/>
      <c r="G45" s="373"/>
      <c r="H45" s="373"/>
      <c r="I45" s="374"/>
    </row>
    <row r="46" spans="2:9" x14ac:dyDescent="0.25">
      <c r="B46" s="371" t="s">
        <v>1337</v>
      </c>
      <c r="C46" s="372"/>
      <c r="D46" s="373"/>
      <c r="E46" s="373" t="s">
        <v>4</v>
      </c>
      <c r="F46" s="373"/>
      <c r="G46" s="373"/>
      <c r="H46" s="373"/>
      <c r="I46" s="374"/>
    </row>
    <row r="47" spans="2:9" x14ac:dyDescent="0.25">
      <c r="B47" s="371" t="s">
        <v>1307</v>
      </c>
      <c r="C47" s="372"/>
      <c r="D47" s="373"/>
      <c r="E47" s="373"/>
      <c r="F47" s="373"/>
      <c r="G47" s="373" t="s">
        <v>4</v>
      </c>
      <c r="H47" s="373"/>
      <c r="I47" s="374"/>
    </row>
    <row r="48" spans="2:9" x14ac:dyDescent="0.25">
      <c r="B48" s="371" t="s">
        <v>1338</v>
      </c>
      <c r="C48" s="372"/>
      <c r="D48" s="373"/>
      <c r="E48" s="373" t="s">
        <v>4</v>
      </c>
      <c r="F48" s="373"/>
      <c r="G48" s="373"/>
      <c r="H48" s="373"/>
      <c r="I48" s="374"/>
    </row>
    <row r="49" spans="1:9" x14ac:dyDescent="0.25">
      <c r="B49" s="371" t="s">
        <v>1308</v>
      </c>
      <c r="C49" s="372"/>
      <c r="D49" s="373"/>
      <c r="E49" s="373" t="s">
        <v>4</v>
      </c>
      <c r="F49" s="373"/>
      <c r="G49" s="373"/>
      <c r="H49" s="373"/>
      <c r="I49" s="374"/>
    </row>
    <row r="50" spans="1:9" x14ac:dyDescent="0.25">
      <c r="B50" s="375" t="s">
        <v>1339</v>
      </c>
      <c r="C50" s="372"/>
      <c r="D50" s="373"/>
      <c r="E50" s="373" t="s">
        <v>4</v>
      </c>
      <c r="F50" s="373"/>
      <c r="G50" s="373"/>
      <c r="H50" s="373"/>
      <c r="I50" s="374"/>
    </row>
    <row r="51" spans="1:9" x14ac:dyDescent="0.25">
      <c r="B51" s="371" t="s">
        <v>1309</v>
      </c>
      <c r="C51" s="372"/>
      <c r="D51" s="373"/>
      <c r="E51" s="373"/>
      <c r="F51" s="373"/>
      <c r="G51" s="373"/>
      <c r="H51" s="373" t="s">
        <v>4</v>
      </c>
      <c r="I51" s="374"/>
    </row>
    <row r="52" spans="1:9" x14ac:dyDescent="0.25">
      <c r="B52" s="371" t="s">
        <v>1340</v>
      </c>
      <c r="C52" s="372"/>
      <c r="D52" s="373"/>
      <c r="E52" s="373"/>
      <c r="F52" s="373"/>
      <c r="G52" s="373"/>
      <c r="H52" s="373"/>
      <c r="I52" s="374" t="s">
        <v>4</v>
      </c>
    </row>
    <row r="53" spans="1:9" ht="15.75" thickBot="1" x14ac:dyDescent="0.3">
      <c r="B53" s="376" t="s">
        <v>1341</v>
      </c>
      <c r="C53" s="377"/>
      <c r="D53" s="378"/>
      <c r="E53" s="378"/>
      <c r="F53" s="378" t="s">
        <v>4</v>
      </c>
      <c r="G53" s="378"/>
      <c r="H53" s="378"/>
      <c r="I53" s="379"/>
    </row>
    <row r="54" spans="1:9" ht="15.75" thickBot="1" x14ac:dyDescent="0.3"/>
    <row r="55" spans="1:9" ht="45.75" thickBot="1" x14ac:dyDescent="0.3">
      <c r="B55" s="380" t="s">
        <v>1343</v>
      </c>
      <c r="C55" s="390" t="s">
        <v>1328</v>
      </c>
      <c r="D55" s="391" t="s">
        <v>1329</v>
      </c>
      <c r="E55" s="391" t="s">
        <v>1330</v>
      </c>
      <c r="F55" s="391" t="s">
        <v>1331</v>
      </c>
      <c r="G55" s="391" t="s">
        <v>1332</v>
      </c>
      <c r="H55" s="391" t="s">
        <v>1333</v>
      </c>
      <c r="I55" s="392" t="s">
        <v>1310</v>
      </c>
    </row>
    <row r="56" spans="1:9" ht="45" x14ac:dyDescent="0.25">
      <c r="B56" s="381" t="s">
        <v>1344</v>
      </c>
      <c r="C56" s="369" t="s">
        <v>4</v>
      </c>
      <c r="D56" s="370"/>
      <c r="E56" s="370"/>
      <c r="F56" s="370"/>
      <c r="G56" s="370"/>
      <c r="H56" s="370"/>
      <c r="I56" s="382"/>
    </row>
    <row r="57" spans="1:9" ht="45" x14ac:dyDescent="0.25">
      <c r="B57" s="383" t="s">
        <v>1345</v>
      </c>
      <c r="C57" s="384"/>
      <c r="D57" s="385" t="s">
        <v>4</v>
      </c>
      <c r="E57" s="385" t="s">
        <v>4</v>
      </c>
      <c r="F57" s="385"/>
      <c r="G57" s="385"/>
      <c r="H57" s="385"/>
      <c r="I57" s="374"/>
    </row>
    <row r="58" spans="1:9" ht="45" x14ac:dyDescent="0.25">
      <c r="B58" s="381" t="s">
        <v>1346</v>
      </c>
      <c r="C58" s="384"/>
      <c r="D58" s="385"/>
      <c r="E58" s="385"/>
      <c r="F58" s="385" t="s">
        <v>4</v>
      </c>
      <c r="G58" s="385" t="s">
        <v>4</v>
      </c>
      <c r="H58" s="385" t="s">
        <v>4</v>
      </c>
      <c r="I58" s="374" t="s">
        <v>4</v>
      </c>
    </row>
    <row r="59" spans="1:9" ht="30" x14ac:dyDescent="0.25">
      <c r="B59" s="383" t="s">
        <v>1347</v>
      </c>
      <c r="C59" s="384"/>
      <c r="D59" s="385"/>
      <c r="E59" s="385" t="s">
        <v>4</v>
      </c>
      <c r="F59" s="385"/>
      <c r="G59" s="385"/>
      <c r="H59" s="385"/>
      <c r="I59" s="374"/>
    </row>
    <row r="60" spans="1:9" ht="30.75" thickBot="1" x14ac:dyDescent="0.3">
      <c r="B60" s="386" t="s">
        <v>1348</v>
      </c>
      <c r="C60" s="387"/>
      <c r="D60" s="388"/>
      <c r="E60" s="389" t="s">
        <v>4</v>
      </c>
      <c r="F60" s="388"/>
      <c r="G60" s="388"/>
      <c r="H60" s="388"/>
      <c r="I60" s="379"/>
    </row>
    <row r="61" spans="1:9" ht="15.75" thickBot="1" x14ac:dyDescent="0.3"/>
    <row r="62" spans="1:9" ht="45" x14ac:dyDescent="0.25">
      <c r="A62" s="542" t="s">
        <v>1457</v>
      </c>
      <c r="B62" s="550" t="s">
        <v>1416</v>
      </c>
      <c r="C62" s="390" t="s">
        <v>1328</v>
      </c>
      <c r="D62" s="391" t="s">
        <v>1329</v>
      </c>
      <c r="E62" s="391" t="s">
        <v>1330</v>
      </c>
      <c r="F62" s="391" t="s">
        <v>1331</v>
      </c>
      <c r="G62" s="391" t="s">
        <v>1332</v>
      </c>
      <c r="H62" s="392" t="s">
        <v>1333</v>
      </c>
      <c r="I62" s="545" t="s">
        <v>1310</v>
      </c>
    </row>
    <row r="63" spans="1:9" x14ac:dyDescent="0.25">
      <c r="A63" s="2602" t="s">
        <v>1429</v>
      </c>
      <c r="B63" s="551" t="s">
        <v>1417</v>
      </c>
      <c r="C63" s="384"/>
      <c r="D63" s="385" t="s">
        <v>4</v>
      </c>
      <c r="E63" s="385" t="s">
        <v>4</v>
      </c>
      <c r="F63" s="385" t="s">
        <v>4</v>
      </c>
      <c r="G63" s="385" t="s">
        <v>4</v>
      </c>
      <c r="H63" s="385"/>
      <c r="I63" s="546"/>
    </row>
    <row r="64" spans="1:9" x14ac:dyDescent="0.25">
      <c r="A64" s="2603"/>
      <c r="B64" s="551" t="s">
        <v>1418</v>
      </c>
      <c r="C64" s="384"/>
      <c r="D64" s="541" t="s">
        <v>4</v>
      </c>
      <c r="E64" s="385" t="s">
        <v>4</v>
      </c>
      <c r="F64" s="385" t="s">
        <v>4</v>
      </c>
      <c r="G64" s="385" t="s">
        <v>4</v>
      </c>
      <c r="H64" s="385" t="s">
        <v>4</v>
      </c>
      <c r="I64" s="558" t="s">
        <v>4</v>
      </c>
    </row>
    <row r="65" spans="1:9" x14ac:dyDescent="0.25">
      <c r="A65" s="2603"/>
      <c r="B65" s="552" t="s">
        <v>1419</v>
      </c>
      <c r="C65" s="384"/>
      <c r="D65" s="385" t="s">
        <v>4</v>
      </c>
      <c r="E65" s="385" t="s">
        <v>4</v>
      </c>
      <c r="F65" s="385" t="s">
        <v>4</v>
      </c>
      <c r="G65" s="385" t="s">
        <v>4</v>
      </c>
      <c r="H65" s="385" t="s">
        <v>4</v>
      </c>
      <c r="I65" s="558" t="s">
        <v>4</v>
      </c>
    </row>
    <row r="66" spans="1:9" x14ac:dyDescent="0.25">
      <c r="A66" s="2604"/>
      <c r="B66" s="552" t="s">
        <v>1420</v>
      </c>
      <c r="C66" s="384"/>
      <c r="D66" s="385" t="s">
        <v>4</v>
      </c>
      <c r="E66" s="385" t="s">
        <v>4</v>
      </c>
      <c r="F66" s="385" t="s">
        <v>4</v>
      </c>
      <c r="G66" s="385" t="s">
        <v>4</v>
      </c>
      <c r="H66" s="385" t="s">
        <v>4</v>
      </c>
      <c r="I66" s="558" t="s">
        <v>4</v>
      </c>
    </row>
    <row r="67" spans="1:9" ht="15" customHeight="1" x14ac:dyDescent="0.25">
      <c r="A67" s="2601" t="s">
        <v>1428</v>
      </c>
      <c r="B67" s="551" t="s">
        <v>1421</v>
      </c>
      <c r="C67" s="384"/>
      <c r="D67" s="385" t="s">
        <v>4</v>
      </c>
      <c r="E67" s="385" t="s">
        <v>4</v>
      </c>
      <c r="F67" s="385" t="s">
        <v>4</v>
      </c>
      <c r="G67" s="385"/>
      <c r="H67" s="385"/>
      <c r="I67" s="546"/>
    </row>
    <row r="68" spans="1:9" x14ac:dyDescent="0.25">
      <c r="A68" s="2601"/>
      <c r="B68" s="551" t="s">
        <v>1422</v>
      </c>
      <c r="C68" s="384"/>
      <c r="D68" s="385" t="s">
        <v>4</v>
      </c>
      <c r="E68" s="385" t="s">
        <v>4</v>
      </c>
      <c r="F68" s="385" t="s">
        <v>4</v>
      </c>
      <c r="G68" s="385"/>
      <c r="H68" s="385"/>
      <c r="I68" s="546"/>
    </row>
    <row r="69" spans="1:9" x14ac:dyDescent="0.25">
      <c r="A69" s="2601"/>
      <c r="B69" s="551" t="s">
        <v>1423</v>
      </c>
      <c r="C69" s="384"/>
      <c r="D69" s="385" t="s">
        <v>4</v>
      </c>
      <c r="E69" s="385" t="s">
        <v>4</v>
      </c>
      <c r="F69" s="385" t="s">
        <v>4</v>
      </c>
      <c r="G69" s="385" t="s">
        <v>4</v>
      </c>
      <c r="H69" s="385"/>
      <c r="I69" s="546"/>
    </row>
    <row r="70" spans="1:9" x14ac:dyDescent="0.25">
      <c r="A70" s="2601"/>
      <c r="B70" s="551" t="s">
        <v>1424</v>
      </c>
      <c r="C70" s="384"/>
      <c r="D70" s="385" t="s">
        <v>4</v>
      </c>
      <c r="E70" s="385" t="s">
        <v>4</v>
      </c>
      <c r="F70" s="385" t="s">
        <v>4</v>
      </c>
      <c r="G70" s="385"/>
      <c r="H70" s="385"/>
      <c r="I70" s="546"/>
    </row>
    <row r="71" spans="1:9" x14ac:dyDescent="0.25">
      <c r="A71" s="2601"/>
      <c r="B71" s="551" t="s">
        <v>1425</v>
      </c>
      <c r="C71" s="384"/>
      <c r="D71" s="385" t="s">
        <v>4</v>
      </c>
      <c r="E71" s="385" t="s">
        <v>4</v>
      </c>
      <c r="F71" s="385" t="s">
        <v>4</v>
      </c>
      <c r="G71" s="385"/>
      <c r="H71" s="385" t="s">
        <v>4</v>
      </c>
      <c r="I71" s="546"/>
    </row>
    <row r="72" spans="1:9" x14ac:dyDescent="0.25">
      <c r="A72" s="2601"/>
      <c r="B72" s="551" t="s">
        <v>1426</v>
      </c>
      <c r="C72" s="384"/>
      <c r="D72" s="385" t="s">
        <v>4</v>
      </c>
      <c r="E72" s="385" t="s">
        <v>4</v>
      </c>
      <c r="F72" s="385" t="s">
        <v>4</v>
      </c>
      <c r="G72" s="385"/>
      <c r="H72" s="385"/>
      <c r="I72" s="374"/>
    </row>
    <row r="73" spans="1:9" x14ac:dyDescent="0.25">
      <c r="A73" s="2601"/>
      <c r="B73" s="551" t="s">
        <v>1427</v>
      </c>
      <c r="C73" s="384"/>
      <c r="D73" s="385" t="s">
        <v>4</v>
      </c>
      <c r="E73" s="385" t="s">
        <v>4</v>
      </c>
      <c r="F73" s="385" t="s">
        <v>4</v>
      </c>
      <c r="G73" s="385"/>
      <c r="H73" s="385"/>
      <c r="I73" s="374"/>
    </row>
    <row r="74" spans="1:9" x14ac:dyDescent="0.25">
      <c r="A74" s="2601" t="s">
        <v>1436</v>
      </c>
      <c r="B74" s="553" t="s">
        <v>1430</v>
      </c>
      <c r="C74" s="555"/>
      <c r="D74" s="385" t="s">
        <v>4</v>
      </c>
      <c r="E74" s="385" t="s">
        <v>4</v>
      </c>
      <c r="F74" s="385" t="s">
        <v>4</v>
      </c>
      <c r="G74" s="20"/>
      <c r="H74" s="20"/>
      <c r="I74" s="547"/>
    </row>
    <row r="75" spans="1:9" x14ac:dyDescent="0.25">
      <c r="A75" s="2599"/>
      <c r="B75" s="553" t="s">
        <v>1431</v>
      </c>
      <c r="C75" s="555"/>
      <c r="D75" s="385" t="s">
        <v>4</v>
      </c>
      <c r="E75" s="385" t="s">
        <v>4</v>
      </c>
      <c r="F75" s="385" t="s">
        <v>4</v>
      </c>
      <c r="G75" s="20"/>
      <c r="H75" s="20"/>
      <c r="I75" s="547"/>
    </row>
    <row r="76" spans="1:9" x14ac:dyDescent="0.25">
      <c r="A76" s="2599"/>
      <c r="B76" s="553" t="s">
        <v>1432</v>
      </c>
      <c r="C76" s="555"/>
      <c r="D76" s="385" t="s">
        <v>4</v>
      </c>
      <c r="E76" s="385" t="s">
        <v>4</v>
      </c>
      <c r="F76" s="385" t="s">
        <v>4</v>
      </c>
      <c r="G76" s="20"/>
      <c r="H76" s="20"/>
      <c r="I76" s="547"/>
    </row>
    <row r="77" spans="1:9" x14ac:dyDescent="0.25">
      <c r="A77" s="2599"/>
      <c r="B77" s="553" t="s">
        <v>1433</v>
      </c>
      <c r="C77" s="555"/>
      <c r="D77" s="385" t="s">
        <v>4</v>
      </c>
      <c r="E77" s="385" t="s">
        <v>4</v>
      </c>
      <c r="F77" s="385" t="s">
        <v>4</v>
      </c>
      <c r="G77" s="20"/>
      <c r="H77" s="20"/>
      <c r="I77" s="547"/>
    </row>
    <row r="78" spans="1:9" x14ac:dyDescent="0.25">
      <c r="A78" s="2599"/>
      <c r="B78" s="553" t="s">
        <v>1434</v>
      </c>
      <c r="C78" s="555"/>
      <c r="D78" s="385" t="s">
        <v>4</v>
      </c>
      <c r="E78" s="385" t="s">
        <v>4</v>
      </c>
      <c r="F78" s="385" t="s">
        <v>4</v>
      </c>
      <c r="G78" s="20"/>
      <c r="H78" s="20"/>
      <c r="I78" s="547"/>
    </row>
    <row r="79" spans="1:9" x14ac:dyDescent="0.25">
      <c r="A79" s="2599"/>
      <c r="B79" s="553" t="s">
        <v>1435</v>
      </c>
      <c r="C79" s="555"/>
      <c r="D79" s="385" t="s">
        <v>4</v>
      </c>
      <c r="E79" s="385" t="s">
        <v>4</v>
      </c>
      <c r="F79" s="385" t="s">
        <v>4</v>
      </c>
      <c r="G79" s="20"/>
      <c r="H79" s="20"/>
      <c r="I79" s="547"/>
    </row>
    <row r="80" spans="1:9" x14ac:dyDescent="0.25">
      <c r="A80" s="2601" t="s">
        <v>1440</v>
      </c>
      <c r="B80" s="553" t="s">
        <v>1437</v>
      </c>
      <c r="C80" s="555"/>
      <c r="D80" s="385" t="s">
        <v>4</v>
      </c>
      <c r="E80" s="385" t="s">
        <v>4</v>
      </c>
      <c r="F80" s="385" t="s">
        <v>4</v>
      </c>
      <c r="G80" s="20"/>
      <c r="H80" s="20"/>
      <c r="I80" s="547"/>
    </row>
    <row r="81" spans="1:9" x14ac:dyDescent="0.25">
      <c r="A81" s="2601"/>
      <c r="B81" s="553" t="s">
        <v>1438</v>
      </c>
      <c r="C81" s="555"/>
      <c r="D81" s="385" t="s">
        <v>4</v>
      </c>
      <c r="E81" s="385" t="s">
        <v>4</v>
      </c>
      <c r="F81" s="385" t="s">
        <v>4</v>
      </c>
      <c r="G81" s="20"/>
      <c r="H81" s="20"/>
      <c r="I81" s="547"/>
    </row>
    <row r="82" spans="1:9" x14ac:dyDescent="0.25">
      <c r="A82" s="2601"/>
      <c r="B82" s="553" t="s">
        <v>1439</v>
      </c>
      <c r="C82" s="555"/>
      <c r="D82" s="385" t="s">
        <v>4</v>
      </c>
      <c r="E82" s="385" t="s">
        <v>4</v>
      </c>
      <c r="F82" s="385" t="s">
        <v>4</v>
      </c>
      <c r="G82" s="20"/>
      <c r="H82" s="20"/>
      <c r="I82" s="547"/>
    </row>
    <row r="83" spans="1:9" ht="30" x14ac:dyDescent="0.25">
      <c r="A83" s="543" t="s">
        <v>1442</v>
      </c>
      <c r="B83" s="553" t="s">
        <v>1441</v>
      </c>
      <c r="C83" s="557" t="s">
        <v>4</v>
      </c>
      <c r="D83" s="20"/>
      <c r="E83" s="560" t="s">
        <v>4</v>
      </c>
      <c r="F83" s="385" t="s">
        <v>4</v>
      </c>
      <c r="G83" s="20"/>
      <c r="H83" s="20"/>
      <c r="I83" s="547"/>
    </row>
    <row r="84" spans="1:9" x14ac:dyDescent="0.25">
      <c r="A84" s="2599" t="s">
        <v>1454</v>
      </c>
      <c r="B84" s="553" t="s">
        <v>1443</v>
      </c>
      <c r="C84" s="555"/>
      <c r="D84" s="385" t="s">
        <v>4</v>
      </c>
      <c r="E84" s="385" t="s">
        <v>4</v>
      </c>
      <c r="F84" s="385" t="s">
        <v>4</v>
      </c>
      <c r="G84" s="20"/>
      <c r="H84" s="20"/>
      <c r="I84" s="547"/>
    </row>
    <row r="85" spans="1:9" x14ac:dyDescent="0.25">
      <c r="A85" s="2599"/>
      <c r="B85" s="553" t="s">
        <v>1444</v>
      </c>
      <c r="C85" s="555"/>
      <c r="D85" s="385" t="s">
        <v>4</v>
      </c>
      <c r="E85" s="385" t="s">
        <v>4</v>
      </c>
      <c r="F85" s="385" t="s">
        <v>4</v>
      </c>
      <c r="G85" s="20"/>
      <c r="H85" s="20"/>
      <c r="I85" s="547"/>
    </row>
    <row r="86" spans="1:9" x14ac:dyDescent="0.25">
      <c r="A86" s="2599"/>
      <c r="B86" s="553" t="s">
        <v>1445</v>
      </c>
      <c r="C86" s="555"/>
      <c r="D86" s="385" t="s">
        <v>4</v>
      </c>
      <c r="E86" s="385" t="s">
        <v>4</v>
      </c>
      <c r="F86" s="385" t="s">
        <v>4</v>
      </c>
      <c r="G86" s="20"/>
      <c r="H86" s="20"/>
      <c r="I86" s="547"/>
    </row>
    <row r="87" spans="1:9" x14ac:dyDescent="0.25">
      <c r="A87" s="2599"/>
      <c r="B87" s="553" t="s">
        <v>1446</v>
      </c>
      <c r="C87" s="555"/>
      <c r="D87" s="385" t="s">
        <v>4</v>
      </c>
      <c r="E87" s="385" t="s">
        <v>4</v>
      </c>
      <c r="F87" s="385" t="s">
        <v>4</v>
      </c>
      <c r="G87" s="20"/>
      <c r="H87" s="20"/>
      <c r="I87" s="547"/>
    </row>
    <row r="88" spans="1:9" x14ac:dyDescent="0.25">
      <c r="A88" s="2599"/>
      <c r="B88" s="553" t="s">
        <v>1447</v>
      </c>
      <c r="C88" s="555"/>
      <c r="D88" s="385" t="s">
        <v>4</v>
      </c>
      <c r="E88" s="385" t="s">
        <v>4</v>
      </c>
      <c r="F88" s="385" t="s">
        <v>4</v>
      </c>
      <c r="G88" s="20"/>
      <c r="H88" s="20"/>
      <c r="I88" s="547"/>
    </row>
    <row r="89" spans="1:9" x14ac:dyDescent="0.25">
      <c r="A89" s="2599"/>
      <c r="B89" s="553" t="s">
        <v>1448</v>
      </c>
      <c r="C89" s="555"/>
      <c r="D89" s="385" t="s">
        <v>4</v>
      </c>
      <c r="E89" s="385" t="s">
        <v>4</v>
      </c>
      <c r="F89" s="385" t="s">
        <v>4</v>
      </c>
      <c r="G89" s="20"/>
      <c r="H89" s="20"/>
      <c r="I89" s="547"/>
    </row>
    <row r="90" spans="1:9" x14ac:dyDescent="0.25">
      <c r="A90" s="2599"/>
      <c r="B90" s="553" t="s">
        <v>1449</v>
      </c>
      <c r="C90" s="555"/>
      <c r="D90" s="385" t="s">
        <v>4</v>
      </c>
      <c r="E90" s="385" t="s">
        <v>4</v>
      </c>
      <c r="F90" s="385" t="s">
        <v>4</v>
      </c>
      <c r="G90" s="20"/>
      <c r="H90" s="20"/>
      <c r="I90" s="547"/>
    </row>
    <row r="91" spans="1:9" x14ac:dyDescent="0.25">
      <c r="A91" s="2599"/>
      <c r="B91" s="553" t="s">
        <v>1450</v>
      </c>
      <c r="C91" s="555"/>
      <c r="D91" s="385" t="s">
        <v>4</v>
      </c>
      <c r="E91" s="385" t="s">
        <v>4</v>
      </c>
      <c r="F91" s="385" t="s">
        <v>4</v>
      </c>
      <c r="G91" s="20"/>
      <c r="H91" s="20"/>
      <c r="I91" s="547"/>
    </row>
    <row r="92" spans="1:9" x14ac:dyDescent="0.25">
      <c r="A92" s="2599"/>
      <c r="B92" s="553" t="s">
        <v>1451</v>
      </c>
      <c r="C92" s="555"/>
      <c r="D92" s="385" t="s">
        <v>4</v>
      </c>
      <c r="E92" s="385" t="s">
        <v>4</v>
      </c>
      <c r="F92" s="385" t="s">
        <v>4</v>
      </c>
      <c r="G92" s="20"/>
      <c r="H92" s="20"/>
      <c r="I92" s="547"/>
    </row>
    <row r="93" spans="1:9" x14ac:dyDescent="0.25">
      <c r="A93" s="2599"/>
      <c r="B93" s="553" t="s">
        <v>1452</v>
      </c>
      <c r="C93" s="555"/>
      <c r="D93" s="385" t="s">
        <v>4</v>
      </c>
      <c r="E93" s="385" t="s">
        <v>4</v>
      </c>
      <c r="F93" s="385" t="s">
        <v>4</v>
      </c>
      <c r="G93" s="20"/>
      <c r="H93" s="20"/>
      <c r="I93" s="547"/>
    </row>
    <row r="94" spans="1:9" x14ac:dyDescent="0.25">
      <c r="A94" s="2599"/>
      <c r="B94" s="553" t="s">
        <v>1453</v>
      </c>
      <c r="C94" s="555"/>
      <c r="D94" s="385" t="s">
        <v>4</v>
      </c>
      <c r="E94" s="385" t="s">
        <v>4</v>
      </c>
      <c r="F94" s="385" t="s">
        <v>4</v>
      </c>
      <c r="G94" s="20"/>
      <c r="H94" s="20"/>
      <c r="I94" s="547"/>
    </row>
    <row r="95" spans="1:9" ht="15.75" thickBot="1" x14ac:dyDescent="0.3">
      <c r="A95" s="544" t="s">
        <v>1456</v>
      </c>
      <c r="B95" s="554" t="s">
        <v>1455</v>
      </c>
      <c r="C95" s="556"/>
      <c r="D95" s="388"/>
      <c r="E95" s="548"/>
      <c r="F95" s="388" t="s">
        <v>4</v>
      </c>
      <c r="G95" s="548"/>
      <c r="H95" s="548"/>
      <c r="I95" s="549"/>
    </row>
  </sheetData>
  <mergeCells count="6">
    <mergeCell ref="A84:A94"/>
    <mergeCell ref="C36:I36"/>
    <mergeCell ref="A67:A73"/>
    <mergeCell ref="A63:A66"/>
    <mergeCell ref="A74:A79"/>
    <mergeCell ref="A80:A8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1288"/>
  <sheetViews>
    <sheetView zoomScale="90" zoomScaleNormal="90" zoomScaleSheetLayoutView="70" workbookViewId="0">
      <pane xSplit="2" ySplit="7" topLeftCell="C571" activePane="bottomRight" state="frozen"/>
      <selection pane="topRight" activeCell="C1" sqref="C1"/>
      <selection pane="bottomLeft" activeCell="A8" sqref="A8"/>
      <selection pane="bottomRight" activeCell="B569" sqref="B569"/>
    </sheetView>
  </sheetViews>
  <sheetFormatPr baseColWidth="10" defaultRowHeight="11.25" x14ac:dyDescent="0.2"/>
  <cols>
    <col min="1" max="1" width="47" style="291" customWidth="1"/>
    <col min="2" max="2" width="14" style="292" customWidth="1"/>
    <col min="3" max="3" width="17.7109375" style="288" customWidth="1"/>
    <col min="4" max="7" width="10.42578125" style="87" bestFit="1" customWidth="1"/>
    <col min="8" max="8" width="12.85546875" style="289" bestFit="1" customWidth="1"/>
    <col min="9" max="9" width="10.42578125" style="289" bestFit="1" customWidth="1"/>
    <col min="10" max="11" width="10.42578125" style="87" bestFit="1" customWidth="1"/>
    <col min="12" max="12" width="11.7109375" style="87" bestFit="1" customWidth="1"/>
    <col min="13" max="13" width="12.85546875" style="289" bestFit="1" customWidth="1"/>
    <col min="14" max="16" width="10.42578125" style="87" bestFit="1" customWidth="1"/>
    <col min="17" max="17" width="11.7109375" style="87" bestFit="1" customWidth="1"/>
    <col min="18" max="18" width="12.28515625" style="289" bestFit="1" customWidth="1"/>
    <col min="19" max="21" width="10.42578125" style="87" bestFit="1" customWidth="1"/>
    <col min="22" max="22" width="12.140625" style="87" bestFit="1" customWidth="1"/>
    <col min="23" max="23" width="12.28515625" style="289" bestFit="1" customWidth="1"/>
    <col min="24" max="16384" width="11.42578125" style="114"/>
  </cols>
  <sheetData>
    <row r="1" spans="1:26" s="87" customFormat="1" ht="15.75" customHeight="1" x14ac:dyDescent="0.2">
      <c r="A1" s="84"/>
      <c r="B1" s="85"/>
      <c r="C1" s="86" t="s">
        <v>404</v>
      </c>
      <c r="D1" s="86"/>
      <c r="E1" s="85"/>
      <c r="F1" s="85"/>
      <c r="G1" s="85"/>
      <c r="H1" s="85"/>
      <c r="I1" s="85"/>
      <c r="J1" s="85"/>
      <c r="K1" s="85"/>
      <c r="L1" s="85"/>
      <c r="M1" s="85"/>
      <c r="N1" s="85"/>
      <c r="O1" s="85"/>
      <c r="P1" s="85"/>
      <c r="Q1" s="85"/>
      <c r="R1" s="85"/>
      <c r="S1" s="85"/>
      <c r="T1" s="85"/>
      <c r="U1" s="85"/>
      <c r="V1" s="85"/>
      <c r="W1" s="85"/>
    </row>
    <row r="2" spans="1:26" s="87" customFormat="1" ht="15.75" customHeight="1" x14ac:dyDescent="0.2">
      <c r="A2" s="88"/>
      <c r="B2" s="89"/>
      <c r="C2" s="90" t="s">
        <v>405</v>
      </c>
      <c r="D2" s="90"/>
      <c r="E2" s="90"/>
      <c r="F2" s="90"/>
      <c r="G2" s="89"/>
      <c r="H2" s="91"/>
      <c r="I2" s="91"/>
      <c r="J2" s="91"/>
      <c r="K2" s="91"/>
      <c r="L2" s="91"/>
      <c r="M2" s="91"/>
      <c r="N2" s="91"/>
      <c r="O2" s="91"/>
      <c r="P2" s="92"/>
      <c r="Q2" s="92"/>
      <c r="R2" s="91"/>
      <c r="S2" s="91"/>
      <c r="T2" s="91"/>
      <c r="U2" s="92"/>
      <c r="V2" s="92"/>
      <c r="W2" s="91"/>
    </row>
    <row r="3" spans="1:26" s="87" customFormat="1" ht="24" customHeight="1" x14ac:dyDescent="0.2">
      <c r="A3" s="93" t="s">
        <v>406</v>
      </c>
      <c r="B3" s="89"/>
      <c r="C3" s="90" t="s">
        <v>407</v>
      </c>
      <c r="D3" s="90"/>
      <c r="E3" s="90"/>
      <c r="F3" s="90"/>
      <c r="G3" s="89"/>
      <c r="H3" s="91"/>
      <c r="I3" s="91"/>
      <c r="J3" s="91"/>
      <c r="K3" s="91"/>
      <c r="L3" s="91"/>
      <c r="M3" s="91"/>
      <c r="N3" s="91"/>
      <c r="O3" s="91"/>
      <c r="P3" s="92"/>
      <c r="Q3" s="92"/>
      <c r="R3" s="91"/>
      <c r="S3" s="91"/>
      <c r="T3" s="91"/>
      <c r="U3" s="92"/>
      <c r="V3" s="92"/>
      <c r="W3" s="91"/>
    </row>
    <row r="4" spans="1:26" s="100" customFormat="1" ht="11.25" customHeight="1" x14ac:dyDescent="0.2">
      <c r="A4" s="94"/>
      <c r="B4" s="95"/>
      <c r="C4" s="96" t="s">
        <v>408</v>
      </c>
      <c r="D4" s="96"/>
      <c r="E4" s="97"/>
      <c r="F4" s="97"/>
      <c r="G4" s="97"/>
      <c r="H4" s="98"/>
      <c r="I4" s="98"/>
      <c r="J4" s="97"/>
      <c r="K4" s="97"/>
      <c r="L4" s="97"/>
      <c r="M4" s="98"/>
      <c r="N4" s="98"/>
      <c r="O4" s="97"/>
      <c r="P4" s="97" t="s">
        <v>409</v>
      </c>
      <c r="Q4" s="99">
        <v>43011</v>
      </c>
      <c r="R4" s="98"/>
      <c r="S4" s="98"/>
      <c r="T4" s="97"/>
      <c r="U4" s="97"/>
      <c r="V4" s="99"/>
      <c r="W4" s="98"/>
    </row>
    <row r="5" spans="1:26" s="100" customFormat="1" ht="11.25" customHeight="1" x14ac:dyDescent="0.2">
      <c r="A5" s="101"/>
      <c r="B5" s="97"/>
      <c r="C5" s="102"/>
      <c r="D5" s="97"/>
      <c r="E5" s="97"/>
      <c r="F5" s="97"/>
      <c r="G5" s="97"/>
      <c r="H5" s="98"/>
      <c r="I5" s="98"/>
      <c r="J5" s="97"/>
      <c r="K5" s="97"/>
      <c r="L5" s="97"/>
      <c r="M5" s="98"/>
      <c r="N5" s="97"/>
      <c r="O5" s="97"/>
      <c r="P5" s="97"/>
      <c r="Q5" s="97"/>
      <c r="R5" s="98"/>
      <c r="S5" s="97"/>
      <c r="T5" s="97"/>
      <c r="U5" s="97"/>
      <c r="V5" s="97"/>
      <c r="W5" s="98"/>
    </row>
    <row r="6" spans="1:26" s="108" customFormat="1" ht="15" x14ac:dyDescent="0.25">
      <c r="A6" s="103" t="s">
        <v>410</v>
      </c>
      <c r="B6" s="104" t="s">
        <v>411</v>
      </c>
      <c r="C6" s="105">
        <v>2014</v>
      </c>
      <c r="D6" s="106">
        <v>2015</v>
      </c>
      <c r="E6" s="106">
        <v>2016</v>
      </c>
      <c r="F6" s="106">
        <v>2017</v>
      </c>
      <c r="G6" s="106">
        <v>2018</v>
      </c>
      <c r="H6" s="107" t="s">
        <v>412</v>
      </c>
      <c r="I6" s="106">
        <v>2019</v>
      </c>
      <c r="J6" s="106">
        <v>2020</v>
      </c>
      <c r="K6" s="106">
        <v>2021</v>
      </c>
      <c r="L6" s="106">
        <v>2022</v>
      </c>
      <c r="M6" s="107" t="s">
        <v>413</v>
      </c>
      <c r="N6" s="106">
        <v>2023</v>
      </c>
      <c r="O6" s="106">
        <v>2024</v>
      </c>
      <c r="P6" s="106">
        <v>2025</v>
      </c>
      <c r="Q6" s="106">
        <v>2026</v>
      </c>
      <c r="R6" s="107" t="s">
        <v>414</v>
      </c>
      <c r="S6" s="106">
        <v>2027</v>
      </c>
      <c r="T6" s="106">
        <v>2028</v>
      </c>
      <c r="U6" s="106">
        <v>2029</v>
      </c>
      <c r="V6" s="106">
        <v>2030</v>
      </c>
      <c r="W6" s="107" t="s">
        <v>415</v>
      </c>
      <c r="Y6" s="108" t="s">
        <v>416</v>
      </c>
    </row>
    <row r="7" spans="1:26" ht="18" customHeight="1" x14ac:dyDescent="0.2">
      <c r="A7" s="109" t="s">
        <v>417</v>
      </c>
      <c r="B7" s="110"/>
      <c r="C7" s="111"/>
      <c r="D7" s="112">
        <f>+D8+D435</f>
        <v>577630.16185199982</v>
      </c>
      <c r="E7" s="112">
        <f>+E8+E435</f>
        <v>518174.72534499993</v>
      </c>
      <c r="F7" s="112">
        <f>+F8+F435</f>
        <v>571191.995995</v>
      </c>
      <c r="G7" s="112">
        <f>+G8+G435</f>
        <v>562216.5420094002</v>
      </c>
      <c r="H7" s="112">
        <f>SUM(D7:G7)</f>
        <v>2229213.4252014002</v>
      </c>
      <c r="I7" s="112">
        <f>+I8+I435</f>
        <v>815612.86622983986</v>
      </c>
      <c r="J7" s="112">
        <f>+J8+J435</f>
        <v>618688.13444127387</v>
      </c>
      <c r="K7" s="112">
        <f>+K8+K435</f>
        <v>673264.39302737161</v>
      </c>
      <c r="L7" s="112">
        <f>+L8+L435</f>
        <v>3726238.8188998853</v>
      </c>
      <c r="M7" s="113">
        <f>+I7+J7+K7+L7</f>
        <v>5833804.2125983704</v>
      </c>
      <c r="N7" s="112">
        <f>+N8+N435</f>
        <v>757141.72705129266</v>
      </c>
      <c r="O7" s="112">
        <f>+O8+O435</f>
        <v>674619.56020264572</v>
      </c>
      <c r="P7" s="112">
        <f>+P8+P435</f>
        <v>700826.76234856993</v>
      </c>
      <c r="Q7" s="112">
        <f>+Q8+Q435</f>
        <v>7502676.2622008789</v>
      </c>
      <c r="R7" s="113">
        <f>+N7+O7+P7+Q7</f>
        <v>9635264.3118033875</v>
      </c>
      <c r="S7" s="112">
        <f>+S8+S435</f>
        <v>709530.84228346567</v>
      </c>
      <c r="T7" s="112">
        <f>+T8+T435</f>
        <v>695750.24080228677</v>
      </c>
      <c r="U7" s="112">
        <f>+U8+U435</f>
        <v>655406.44218613033</v>
      </c>
      <c r="V7" s="112">
        <f>+V8+V435</f>
        <v>11235022.837075269</v>
      </c>
      <c r="W7" s="113">
        <f>+S7+T7+U7+V7</f>
        <v>13295710.362347152</v>
      </c>
      <c r="Y7" s="115">
        <f>+H7+M7+R7+W7</f>
        <v>30993992.311950311</v>
      </c>
      <c r="Z7" s="115">
        <f>+Y8+Y435</f>
        <v>30993992.311950311</v>
      </c>
    </row>
    <row r="8" spans="1:26" s="119" customFormat="1" ht="25.5" customHeight="1" x14ac:dyDescent="0.2">
      <c r="A8" s="116" t="s">
        <v>418</v>
      </c>
      <c r="B8" s="117"/>
      <c r="C8" s="117">
        <f>+C9+C19+C90+C226+C228+C236+C249+C251+C258+C265+C292+C294+C354+C357+C432</f>
        <v>155638.55990399999</v>
      </c>
      <c r="D8" s="117">
        <f>+D9+D19+D90+D226+D228+D236+D249+D251+D258+D265+D292+D294+D354+D357+D432</f>
        <v>133683.5</v>
      </c>
      <c r="E8" s="117">
        <f>+E9+E19+E90+E226+E228+E236+E249+E251+E258+E265+E292+E294+E354+E357+E432</f>
        <v>73095</v>
      </c>
      <c r="F8" s="117">
        <f>+F9+F19+F90+F226+F228+F236+F249+F251+F258+F265+F292+F294+F354+F357+F432</f>
        <v>87236.5</v>
      </c>
      <c r="G8" s="117">
        <f>+G9+G19+G90+G226+G228+G236+G249+G251+G258+G265+G292+G294+G354+G357+G432</f>
        <v>109585</v>
      </c>
      <c r="H8" s="118">
        <f>+D8+E8+F8+G8</f>
        <v>403600</v>
      </c>
      <c r="I8" s="117">
        <f>+I9+I19+I90+I226+I228+I236+I249+I251+I258+I265+I292+I294+I354+I357+I432</f>
        <v>113587</v>
      </c>
      <c r="J8" s="117">
        <f>+J9+J19+J90+J226+J228+J236+J249+J251+J258+J265+J292+J294+J354+J357+J432</f>
        <v>78540</v>
      </c>
      <c r="K8" s="117">
        <f>+K9+K19+K90+K226+K228+K236+K249+K251+K258+K265+K292+K294+K354+K357+K432</f>
        <v>78296</v>
      </c>
      <c r="L8" s="117">
        <f>+L9+L19+L90+L226+L228+L236+L249+L251+L258+L265+L292+L294+L354+L357+L432</f>
        <v>63483</v>
      </c>
      <c r="M8" s="118">
        <f>+I8+J8+K8+L8</f>
        <v>333906</v>
      </c>
      <c r="N8" s="117">
        <f>+N9+N19+N90+N226+N228+N236+N249+N251+N258+N265+N292+N294+N354+N357+N432</f>
        <v>72580</v>
      </c>
      <c r="O8" s="117">
        <f>+O9+O19+O90+O226+O228+O236+O249+O251+O258+O265+O292+O294+O354+O357+O432</f>
        <v>86807</v>
      </c>
      <c r="P8" s="117">
        <f>+P9+P19+P90+P226+P228+P236+P249+P251+P258+P265+P292+P294+P354+P357+P432</f>
        <v>94404</v>
      </c>
      <c r="Q8" s="117">
        <f>+Q9+Q19+Q90+Q226+Q228+Q236+Q249+Q251+Q258+Q265+Q292+Q294+Q354+Q357+Q432</f>
        <v>123981</v>
      </c>
      <c r="R8" s="118">
        <f>+N8+O8+P8+Q8</f>
        <v>377772</v>
      </c>
      <c r="S8" s="117">
        <f>+S9+S19+S90+S226+S228+S236+S249+S251+S258+S265+S292+S294+S354+S357+S432</f>
        <v>43084</v>
      </c>
      <c r="T8" s="117">
        <f>+T9+T19+T90+T226+T228+T236+T249+T251+T258+T265+T292+T294+T354+T357+T432</f>
        <v>40350</v>
      </c>
      <c r="U8" s="117">
        <f>+U9+U19+U90+U226+U228+U236+U249+U251+U258+U265+U292+U294+U354+U357+U432</f>
        <v>32167</v>
      </c>
      <c r="V8" s="117">
        <f>+V9+V19+V90+V226+V228+V236+V249+V251+V258+V265+V292+V294+V354+V357+V432</f>
        <v>32444</v>
      </c>
      <c r="W8" s="118">
        <f>+S8+T8+U8+V8</f>
        <v>148045</v>
      </c>
      <c r="Y8" s="120">
        <f>+H8+M8+R8+W8</f>
        <v>1263323</v>
      </c>
    </row>
    <row r="9" spans="1:26" s="124" customFormat="1" ht="34.9" customHeight="1" x14ac:dyDescent="0.2">
      <c r="A9" s="121" t="s">
        <v>419</v>
      </c>
      <c r="B9" s="122"/>
      <c r="C9" s="122">
        <f>SUM(C10:C18)</f>
        <v>37935</v>
      </c>
      <c r="D9" s="122">
        <f>SUM(D10:D18)</f>
        <v>49743</v>
      </c>
      <c r="E9" s="122">
        <f>SUM(E10:E18)</f>
        <v>23000</v>
      </c>
      <c r="F9" s="122">
        <f>SUM(F10:F18)</f>
        <v>6300</v>
      </c>
      <c r="G9" s="122">
        <f>SUM(G10:G18)</f>
        <v>10000</v>
      </c>
      <c r="H9" s="122">
        <f>+D9+E9+F9+G9</f>
        <v>89043</v>
      </c>
      <c r="I9" s="122">
        <f>SUM(I10:I18)</f>
        <v>0</v>
      </c>
      <c r="J9" s="122">
        <f>SUM(J10:J18)</f>
        <v>0</v>
      </c>
      <c r="K9" s="122">
        <f>SUM(K10:K18)</f>
        <v>0</v>
      </c>
      <c r="L9" s="122">
        <f>SUM(L10:L18)</f>
        <v>0</v>
      </c>
      <c r="M9" s="122">
        <f>+I9+J9+K9+L9</f>
        <v>0</v>
      </c>
      <c r="N9" s="122">
        <f>SUM(N10:N18)</f>
        <v>0</v>
      </c>
      <c r="O9" s="122">
        <f>SUM(O10:O18)</f>
        <v>3000</v>
      </c>
      <c r="P9" s="122">
        <f>SUM(P10:P18)</f>
        <v>1000</v>
      </c>
      <c r="Q9" s="122">
        <f>SUM(Q10:Q18)</f>
        <v>1000</v>
      </c>
      <c r="R9" s="122">
        <f>+N9+O9+P9+Q9</f>
        <v>5000</v>
      </c>
      <c r="S9" s="122">
        <f>SUM(S10:S18)</f>
        <v>0</v>
      </c>
      <c r="T9" s="122">
        <f>SUM(T10:T18)</f>
        <v>0</v>
      </c>
      <c r="U9" s="122">
        <f>SUM(U10:U18)</f>
        <v>0</v>
      </c>
      <c r="V9" s="122">
        <f>SUM(V10:V18)</f>
        <v>0</v>
      </c>
      <c r="W9" s="122">
        <f>+S9+T9+U9+V9</f>
        <v>0</v>
      </c>
      <c r="X9" s="123">
        <v>43004</v>
      </c>
      <c r="Y9" s="124" t="s">
        <v>420</v>
      </c>
    </row>
    <row r="10" spans="1:26" s="119" customFormat="1" ht="66" customHeight="1" x14ac:dyDescent="0.2">
      <c r="A10" s="296" t="s">
        <v>1044</v>
      </c>
      <c r="B10" s="126"/>
      <c r="C10" s="127">
        <v>22911</v>
      </c>
      <c r="D10" s="127">
        <v>5224</v>
      </c>
      <c r="E10" s="127"/>
      <c r="F10" s="127"/>
      <c r="G10" s="128"/>
      <c r="H10" s="129">
        <f t="shared" ref="H10:H18" si="0">SUM(D10:G10)</f>
        <v>5224</v>
      </c>
      <c r="I10" s="126"/>
      <c r="J10" s="126"/>
      <c r="K10" s="126"/>
      <c r="L10" s="126"/>
      <c r="M10" s="129"/>
      <c r="N10" s="126"/>
      <c r="O10" s="126"/>
      <c r="P10" s="126"/>
      <c r="Q10" s="126"/>
      <c r="R10" s="129"/>
      <c r="S10" s="130"/>
      <c r="T10" s="130"/>
      <c r="U10" s="130"/>
      <c r="V10" s="130"/>
      <c r="W10" s="131"/>
    </row>
    <row r="11" spans="1:26" s="119" customFormat="1" ht="125.45" customHeight="1" x14ac:dyDescent="0.2">
      <c r="A11" s="294" t="s">
        <v>1043</v>
      </c>
      <c r="B11" s="126"/>
      <c r="C11" s="127">
        <v>1224</v>
      </c>
      <c r="D11" s="127">
        <v>80</v>
      </c>
      <c r="E11" s="127"/>
      <c r="F11" s="127"/>
      <c r="G11" s="128"/>
      <c r="H11" s="129">
        <f t="shared" si="0"/>
        <v>80</v>
      </c>
      <c r="I11" s="126"/>
      <c r="J11" s="126"/>
      <c r="K11" s="126"/>
      <c r="L11" s="126"/>
      <c r="M11" s="129"/>
      <c r="N11" s="126"/>
      <c r="O11" s="126"/>
      <c r="P11" s="126"/>
      <c r="Q11" s="126"/>
      <c r="R11" s="129"/>
      <c r="S11" s="130"/>
      <c r="T11" s="130"/>
      <c r="U11" s="130"/>
      <c r="V11" s="130"/>
      <c r="W11" s="131"/>
    </row>
    <row r="12" spans="1:26" s="136" customFormat="1" ht="73.900000000000006" customHeight="1" x14ac:dyDescent="0.2">
      <c r="A12" s="293" t="s">
        <v>1042</v>
      </c>
      <c r="B12" s="133"/>
      <c r="C12" s="127">
        <v>3600</v>
      </c>
      <c r="D12" s="127">
        <v>6400</v>
      </c>
      <c r="E12" s="128"/>
      <c r="F12" s="128"/>
      <c r="G12" s="128"/>
      <c r="H12" s="129">
        <f t="shared" si="0"/>
        <v>6400</v>
      </c>
      <c r="I12" s="128"/>
      <c r="J12" s="128"/>
      <c r="K12" s="128"/>
      <c r="L12" s="128"/>
      <c r="M12" s="129"/>
      <c r="N12" s="128"/>
      <c r="O12" s="128"/>
      <c r="P12" s="128"/>
      <c r="Q12" s="128"/>
      <c r="R12" s="129"/>
      <c r="S12" s="134"/>
      <c r="T12" s="134"/>
      <c r="U12" s="134"/>
      <c r="V12" s="134"/>
      <c r="W12" s="135"/>
    </row>
    <row r="13" spans="1:26" s="136" customFormat="1" ht="60" x14ac:dyDescent="0.2">
      <c r="A13" s="293" t="s">
        <v>1045</v>
      </c>
      <c r="B13" s="133"/>
      <c r="C13" s="127">
        <v>600</v>
      </c>
      <c r="D13" s="127">
        <v>394</v>
      </c>
      <c r="E13" s="128"/>
      <c r="F13" s="128"/>
      <c r="G13" s="128"/>
      <c r="H13" s="129">
        <f t="shared" si="0"/>
        <v>394</v>
      </c>
      <c r="I13" s="128"/>
      <c r="J13" s="128"/>
      <c r="K13" s="128"/>
      <c r="L13" s="128"/>
      <c r="M13" s="129"/>
      <c r="N13" s="128"/>
      <c r="O13" s="128"/>
      <c r="P13" s="128"/>
      <c r="Q13" s="128"/>
      <c r="R13" s="129"/>
      <c r="S13" s="134"/>
      <c r="T13" s="134"/>
      <c r="U13" s="134"/>
      <c r="V13" s="134"/>
      <c r="W13" s="135"/>
    </row>
    <row r="14" spans="1:26" s="124" customFormat="1" ht="51.75" customHeight="1" x14ac:dyDescent="0.2">
      <c r="A14" s="293" t="s">
        <v>1046</v>
      </c>
      <c r="B14" s="126"/>
      <c r="C14" s="127">
        <v>0</v>
      </c>
      <c r="D14" s="127">
        <v>0</v>
      </c>
      <c r="E14" s="127">
        <v>0</v>
      </c>
      <c r="F14" s="297">
        <v>6300</v>
      </c>
      <c r="G14" s="297">
        <v>10000</v>
      </c>
      <c r="H14" s="129">
        <f>SUM(D14:G14)</f>
        <v>16300</v>
      </c>
      <c r="I14" s="133">
        <v>0</v>
      </c>
      <c r="J14" s="133">
        <v>0</v>
      </c>
      <c r="K14" s="133">
        <v>0</v>
      </c>
      <c r="L14" s="133">
        <v>0</v>
      </c>
      <c r="M14" s="137">
        <f>SUM(I14:L14)</f>
        <v>0</v>
      </c>
      <c r="N14" s="133">
        <v>0</v>
      </c>
      <c r="O14" s="133">
        <v>3000</v>
      </c>
      <c r="P14" s="133">
        <v>1000</v>
      </c>
      <c r="Q14" s="133">
        <v>1000</v>
      </c>
      <c r="R14" s="137">
        <f>SUM(N14:Q14)</f>
        <v>5000</v>
      </c>
      <c r="S14" s="133">
        <v>0</v>
      </c>
      <c r="T14" s="133">
        <v>0</v>
      </c>
      <c r="U14" s="133">
        <v>0</v>
      </c>
      <c r="V14" s="133">
        <v>0</v>
      </c>
      <c r="W14" s="129">
        <f>SUM(S14:V14)</f>
        <v>0</v>
      </c>
    </row>
    <row r="15" spans="1:26" s="136" customFormat="1" ht="60" x14ac:dyDescent="0.2">
      <c r="A15" s="295" t="s">
        <v>421</v>
      </c>
      <c r="B15" s="138"/>
      <c r="C15" s="139"/>
      <c r="D15" s="140">
        <v>14000</v>
      </c>
      <c r="E15" s="140">
        <v>0</v>
      </c>
      <c r="F15" s="140">
        <v>0</v>
      </c>
      <c r="G15" s="140">
        <v>0</v>
      </c>
      <c r="H15" s="129">
        <f>SUM(D15:G15)</f>
        <v>14000</v>
      </c>
      <c r="I15" s="133">
        <v>0</v>
      </c>
      <c r="J15" s="133">
        <v>0</v>
      </c>
      <c r="K15" s="133">
        <v>0</v>
      </c>
      <c r="L15" s="133">
        <v>0</v>
      </c>
      <c r="M15" s="141"/>
      <c r="N15" s="127">
        <v>0</v>
      </c>
      <c r="O15" s="127">
        <v>0</v>
      </c>
      <c r="P15" s="127">
        <v>0</v>
      </c>
      <c r="Q15" s="127">
        <v>0</v>
      </c>
      <c r="R15" s="137">
        <f>SUM(N15:Q15)</f>
        <v>0</v>
      </c>
      <c r="S15" s="127">
        <v>0</v>
      </c>
      <c r="T15" s="127">
        <v>0</v>
      </c>
      <c r="U15" s="127">
        <v>0</v>
      </c>
      <c r="V15" s="127">
        <v>0</v>
      </c>
      <c r="W15" s="129">
        <f>SUM(S15:V15)</f>
        <v>0</v>
      </c>
    </row>
    <row r="16" spans="1:26" s="136" customFormat="1" ht="88.5" customHeight="1" x14ac:dyDescent="0.2">
      <c r="A16" s="125" t="s">
        <v>422</v>
      </c>
      <c r="B16" s="133"/>
      <c r="C16" s="127">
        <v>4800</v>
      </c>
      <c r="D16" s="127">
        <v>3984</v>
      </c>
      <c r="E16" s="127">
        <v>23000</v>
      </c>
      <c r="F16" s="128"/>
      <c r="G16" s="128"/>
      <c r="H16" s="129">
        <f t="shared" si="0"/>
        <v>26984</v>
      </c>
      <c r="I16" s="128"/>
      <c r="J16" s="128"/>
      <c r="K16" s="128"/>
      <c r="L16" s="128"/>
      <c r="M16" s="129"/>
      <c r="N16" s="128"/>
      <c r="O16" s="128"/>
      <c r="P16" s="128"/>
      <c r="Q16" s="128"/>
      <c r="R16" s="129"/>
      <c r="S16" s="134"/>
      <c r="T16" s="134"/>
      <c r="U16" s="134"/>
      <c r="V16" s="134"/>
      <c r="W16" s="135"/>
    </row>
    <row r="17" spans="1:24" s="136" customFormat="1" ht="212.45" customHeight="1" x14ac:dyDescent="0.2">
      <c r="A17" s="142" t="s">
        <v>423</v>
      </c>
      <c r="B17" s="125" t="s">
        <v>424</v>
      </c>
      <c r="C17" s="127">
        <v>4800</v>
      </c>
      <c r="D17" s="127">
        <v>5704</v>
      </c>
      <c r="E17" s="128"/>
      <c r="F17" s="128"/>
      <c r="G17" s="128"/>
      <c r="H17" s="129">
        <f t="shared" si="0"/>
        <v>5704</v>
      </c>
      <c r="I17" s="128"/>
      <c r="J17" s="128"/>
      <c r="K17" s="128"/>
      <c r="L17" s="128"/>
      <c r="M17" s="129"/>
      <c r="N17" s="128"/>
      <c r="O17" s="128"/>
      <c r="P17" s="128"/>
      <c r="Q17" s="128"/>
      <c r="R17" s="129"/>
      <c r="S17" s="134"/>
      <c r="T17" s="134"/>
      <c r="U17" s="134"/>
      <c r="V17" s="134"/>
      <c r="W17" s="135"/>
    </row>
    <row r="18" spans="1:24" s="136" customFormat="1" ht="51" x14ac:dyDescent="0.2">
      <c r="A18" s="142" t="s">
        <v>425</v>
      </c>
      <c r="B18" s="133"/>
      <c r="C18" s="127"/>
      <c r="D18" s="127">
        <v>13957</v>
      </c>
      <c r="E18" s="128"/>
      <c r="F18" s="128"/>
      <c r="G18" s="128"/>
      <c r="H18" s="129">
        <f t="shared" si="0"/>
        <v>13957</v>
      </c>
      <c r="I18" s="128"/>
      <c r="J18" s="128"/>
      <c r="K18" s="128"/>
      <c r="L18" s="128"/>
      <c r="M18" s="129"/>
      <c r="N18" s="128"/>
      <c r="O18" s="128"/>
      <c r="P18" s="128"/>
      <c r="Q18" s="128"/>
      <c r="R18" s="129"/>
      <c r="S18" s="134"/>
      <c r="T18" s="134"/>
      <c r="U18" s="134"/>
      <c r="V18" s="134"/>
      <c r="W18" s="135"/>
    </row>
    <row r="19" spans="1:24" s="145" customFormat="1" ht="56.25" customHeight="1" x14ac:dyDescent="0.2">
      <c r="A19" s="121" t="s">
        <v>426</v>
      </c>
      <c r="B19" s="122"/>
      <c r="C19" s="143">
        <f>SUM(C20:C88)</f>
        <v>872</v>
      </c>
      <c r="D19" s="143">
        <f>SUM(D20:D88)</f>
        <v>3894</v>
      </c>
      <c r="E19" s="143">
        <f>SUM(E20:E88)</f>
        <v>0</v>
      </c>
      <c r="F19" s="143">
        <f>SUM(F20:F88)</f>
        <v>18460</v>
      </c>
      <c r="G19" s="143">
        <f>SUM(G20:G88)</f>
        <v>29600</v>
      </c>
      <c r="H19" s="122">
        <f>SUM(D19:G19)</f>
        <v>51954</v>
      </c>
      <c r="I19" s="143">
        <f>SUM(I20:I88)</f>
        <v>15950</v>
      </c>
      <c r="J19" s="143">
        <f>SUM(J20:J88)</f>
        <v>11900</v>
      </c>
      <c r="K19" s="143">
        <f>SUM(K20:K88)</f>
        <v>6050</v>
      </c>
      <c r="L19" s="143">
        <f>SUM(L20:L88)</f>
        <v>2950</v>
      </c>
      <c r="M19" s="122">
        <f>SUM(I19:L19)</f>
        <v>36850</v>
      </c>
      <c r="N19" s="143">
        <f>SUM(N20:N88)</f>
        <v>2300</v>
      </c>
      <c r="O19" s="143">
        <f>SUM(O20:O88)</f>
        <v>0</v>
      </c>
      <c r="P19" s="143">
        <f>SUM(P20:P88)</f>
        <v>0</v>
      </c>
      <c r="Q19" s="143">
        <f>SUM(Q20:Q88)</f>
        <v>700</v>
      </c>
      <c r="R19" s="122">
        <f>SUM(N19:Q19)</f>
        <v>3000</v>
      </c>
      <c r="S19" s="143">
        <f>SUM(S20:S88)</f>
        <v>150</v>
      </c>
      <c r="T19" s="143">
        <f>SUM(T20:T88)</f>
        <v>0</v>
      </c>
      <c r="U19" s="143">
        <f>SUM(U20:U88)</f>
        <v>350</v>
      </c>
      <c r="V19" s="143">
        <f>SUM(V20:V88)</f>
        <v>0</v>
      </c>
      <c r="W19" s="122">
        <f>SUM(S19:V19)</f>
        <v>500</v>
      </c>
      <c r="X19" s="144">
        <v>42997</v>
      </c>
    </row>
    <row r="20" spans="1:24" s="119" customFormat="1" ht="41.25" customHeight="1" x14ac:dyDescent="0.2">
      <c r="A20" s="146" t="s">
        <v>427</v>
      </c>
      <c r="B20" s="147"/>
      <c r="C20" s="148">
        <v>261</v>
      </c>
      <c r="D20" s="149"/>
      <c r="E20" s="149"/>
      <c r="F20" s="149"/>
      <c r="G20" s="149"/>
      <c r="H20" s="129">
        <f t="shared" ref="H20:H88" si="1">SUM(D20:G20)</f>
        <v>0</v>
      </c>
      <c r="I20" s="150"/>
      <c r="J20" s="150"/>
      <c r="K20" s="150"/>
      <c r="L20" s="150"/>
      <c r="M20" s="129"/>
      <c r="N20" s="150"/>
      <c r="O20" s="150"/>
      <c r="P20" s="150"/>
      <c r="Q20" s="150"/>
      <c r="R20" s="129"/>
      <c r="S20" s="150"/>
      <c r="T20" s="150"/>
      <c r="U20" s="150"/>
      <c r="V20" s="150"/>
      <c r="W20" s="129"/>
    </row>
    <row r="21" spans="1:24" s="119" customFormat="1" ht="38.25" x14ac:dyDescent="0.2">
      <c r="A21" s="146" t="s">
        <v>428</v>
      </c>
      <c r="B21" s="147" t="s">
        <v>429</v>
      </c>
      <c r="C21" s="148"/>
      <c r="D21" s="150"/>
      <c r="E21" s="150"/>
      <c r="F21" s="150"/>
      <c r="G21" s="150"/>
      <c r="H21" s="129">
        <f t="shared" si="1"/>
        <v>0</v>
      </c>
      <c r="I21" s="150"/>
      <c r="J21" s="150"/>
      <c r="K21" s="150"/>
      <c r="L21" s="150"/>
      <c r="M21" s="129"/>
      <c r="N21" s="150">
        <v>2000</v>
      </c>
      <c r="O21" s="150"/>
      <c r="P21" s="150"/>
      <c r="Q21" s="150"/>
      <c r="R21" s="129"/>
      <c r="S21" s="150"/>
      <c r="T21" s="150"/>
      <c r="U21" s="150"/>
      <c r="V21" s="150"/>
      <c r="W21" s="129"/>
    </row>
    <row r="22" spans="1:24" s="119" customFormat="1" ht="38.25" x14ac:dyDescent="0.2">
      <c r="A22" s="146"/>
      <c r="B22" s="147" t="s">
        <v>430</v>
      </c>
      <c r="C22" s="148"/>
      <c r="D22" s="150"/>
      <c r="E22" s="150"/>
      <c r="F22" s="298">
        <v>15000</v>
      </c>
      <c r="G22" s="298">
        <v>15000</v>
      </c>
      <c r="H22" s="129">
        <f t="shared" si="1"/>
        <v>30000</v>
      </c>
      <c r="I22" s="150"/>
      <c r="J22" s="150"/>
      <c r="K22" s="150"/>
      <c r="L22" s="150"/>
      <c r="M22" s="129"/>
      <c r="N22" s="150"/>
      <c r="O22" s="150"/>
      <c r="P22" s="150"/>
      <c r="Q22" s="150"/>
      <c r="R22" s="129"/>
      <c r="S22" s="150"/>
      <c r="T22" s="150"/>
      <c r="U22" s="150"/>
      <c r="V22" s="150"/>
      <c r="W22" s="129"/>
    </row>
    <row r="23" spans="1:24" s="119" customFormat="1" ht="12.75" customHeight="1" x14ac:dyDescent="0.2">
      <c r="A23" s="146"/>
      <c r="B23" s="147" t="s">
        <v>431</v>
      </c>
      <c r="C23" s="148"/>
      <c r="D23" s="150"/>
      <c r="E23" s="150"/>
      <c r="F23" s="150"/>
      <c r="G23" s="150"/>
      <c r="H23" s="129">
        <f t="shared" si="1"/>
        <v>0</v>
      </c>
      <c r="I23" s="150"/>
      <c r="J23" s="150"/>
      <c r="K23" s="150"/>
      <c r="L23" s="150">
        <v>2000</v>
      </c>
      <c r="M23" s="129"/>
      <c r="N23" s="150"/>
      <c r="O23" s="150"/>
      <c r="P23" s="150"/>
      <c r="Q23" s="150"/>
      <c r="R23" s="129"/>
      <c r="S23" s="150"/>
      <c r="T23" s="150"/>
      <c r="U23" s="150"/>
      <c r="V23" s="150"/>
      <c r="W23" s="129"/>
    </row>
    <row r="24" spans="1:24" s="119" customFormat="1" ht="12.75" x14ac:dyDescent="0.2">
      <c r="A24" s="146"/>
      <c r="B24" s="147" t="s">
        <v>432</v>
      </c>
      <c r="C24" s="148"/>
      <c r="D24" s="150"/>
      <c r="E24" s="150"/>
      <c r="F24" s="150"/>
      <c r="G24" s="150"/>
      <c r="H24" s="129">
        <f t="shared" si="1"/>
        <v>0</v>
      </c>
      <c r="I24" s="150"/>
      <c r="J24" s="150"/>
      <c r="K24" s="150">
        <v>2500</v>
      </c>
      <c r="L24" s="150"/>
      <c r="M24" s="129"/>
      <c r="N24" s="150"/>
      <c r="O24" s="150"/>
      <c r="P24" s="150"/>
      <c r="Q24" s="150"/>
      <c r="R24" s="129"/>
      <c r="S24" s="150"/>
      <c r="T24" s="150"/>
      <c r="U24" s="150"/>
      <c r="V24" s="150"/>
      <c r="W24" s="129"/>
    </row>
    <row r="25" spans="1:24" s="119" customFormat="1" ht="12.75" x14ac:dyDescent="0.2">
      <c r="A25" s="146"/>
      <c r="B25" s="147" t="s">
        <v>433</v>
      </c>
      <c r="C25" s="148"/>
      <c r="D25" s="150"/>
      <c r="E25" s="150"/>
      <c r="F25" s="150"/>
      <c r="G25" s="150"/>
      <c r="H25" s="129">
        <f t="shared" si="1"/>
        <v>0</v>
      </c>
      <c r="I25" s="150"/>
      <c r="J25" s="150">
        <v>2000</v>
      </c>
      <c r="K25" s="150"/>
      <c r="L25" s="150"/>
      <c r="M25" s="129"/>
      <c r="N25" s="150"/>
      <c r="O25" s="150"/>
      <c r="P25" s="150"/>
      <c r="Q25" s="150"/>
      <c r="R25" s="129"/>
      <c r="S25" s="150"/>
      <c r="T25" s="150"/>
      <c r="U25" s="150"/>
      <c r="V25" s="150"/>
      <c r="W25" s="129"/>
    </row>
    <row r="26" spans="1:24" s="119" customFormat="1" ht="25.5" x14ac:dyDescent="0.2">
      <c r="A26" s="146"/>
      <c r="B26" s="147" t="s">
        <v>434</v>
      </c>
      <c r="C26" s="148"/>
      <c r="D26" s="150"/>
      <c r="E26" s="150"/>
      <c r="F26" s="150"/>
      <c r="G26" s="150"/>
      <c r="H26" s="129">
        <f t="shared" si="1"/>
        <v>0</v>
      </c>
      <c r="I26" s="150">
        <v>2500</v>
      </c>
      <c r="J26" s="150"/>
      <c r="K26" s="150"/>
      <c r="L26" s="150"/>
      <c r="M26" s="129"/>
      <c r="N26" s="150"/>
      <c r="O26" s="150"/>
      <c r="P26" s="150"/>
      <c r="Q26" s="150"/>
      <c r="R26" s="129"/>
      <c r="S26" s="150"/>
      <c r="T26" s="150"/>
      <c r="U26" s="150"/>
      <c r="V26" s="150"/>
      <c r="W26" s="129"/>
    </row>
    <row r="27" spans="1:24" s="119" customFormat="1" ht="12.75" x14ac:dyDescent="0.2">
      <c r="A27" s="146"/>
      <c r="B27" s="147" t="s">
        <v>435</v>
      </c>
      <c r="C27" s="148"/>
      <c r="D27" s="150"/>
      <c r="E27" s="150"/>
      <c r="F27" s="298"/>
      <c r="G27" s="298">
        <v>4500</v>
      </c>
      <c r="H27" s="129">
        <f t="shared" si="1"/>
        <v>4500</v>
      </c>
      <c r="I27" s="150"/>
      <c r="J27" s="150"/>
      <c r="K27" s="150"/>
      <c r="L27" s="150"/>
      <c r="M27" s="129"/>
      <c r="N27" s="150"/>
      <c r="O27" s="150"/>
      <c r="P27" s="150"/>
      <c r="Q27" s="150"/>
      <c r="R27" s="129"/>
      <c r="S27" s="150"/>
      <c r="T27" s="150"/>
      <c r="U27" s="150"/>
      <c r="V27" s="150"/>
      <c r="W27" s="129"/>
    </row>
    <row r="28" spans="1:24" s="119" customFormat="1" ht="12.75" x14ac:dyDescent="0.2">
      <c r="A28" s="146"/>
      <c r="B28" s="147" t="s">
        <v>436</v>
      </c>
      <c r="C28" s="148"/>
      <c r="D28" s="150"/>
      <c r="E28" s="150"/>
      <c r="F28" s="150"/>
      <c r="G28" s="150"/>
      <c r="H28" s="129">
        <f t="shared" si="1"/>
        <v>0</v>
      </c>
      <c r="I28" s="150"/>
      <c r="J28" s="150"/>
      <c r="K28" s="150"/>
      <c r="L28" s="150"/>
      <c r="M28" s="129"/>
      <c r="N28" s="150"/>
      <c r="O28" s="150"/>
      <c r="P28" s="150"/>
      <c r="Q28" s="150"/>
      <c r="R28" s="129"/>
      <c r="S28" s="150"/>
      <c r="T28" s="150"/>
      <c r="U28" s="150"/>
      <c r="V28" s="150"/>
      <c r="W28" s="129"/>
    </row>
    <row r="29" spans="1:24" s="119" customFormat="1" ht="12.75" x14ac:dyDescent="0.2">
      <c r="A29" s="146"/>
      <c r="B29" s="147" t="s">
        <v>437</v>
      </c>
      <c r="C29" s="148"/>
      <c r="D29" s="150"/>
      <c r="E29" s="150"/>
      <c r="F29" s="150"/>
      <c r="G29" s="150"/>
      <c r="H29" s="129">
        <f t="shared" si="1"/>
        <v>0</v>
      </c>
      <c r="I29" s="150">
        <v>2500</v>
      </c>
      <c r="J29" s="150"/>
      <c r="K29" s="150"/>
      <c r="L29" s="150"/>
      <c r="M29" s="129"/>
      <c r="N29" s="150"/>
      <c r="O29" s="150"/>
      <c r="P29" s="150"/>
      <c r="Q29" s="150"/>
      <c r="R29" s="129"/>
      <c r="S29" s="150"/>
      <c r="T29" s="150"/>
      <c r="U29" s="150"/>
      <c r="V29" s="150"/>
      <c r="W29" s="129"/>
    </row>
    <row r="30" spans="1:24" s="119" customFormat="1" ht="12.75" x14ac:dyDescent="0.2">
      <c r="A30" s="146"/>
      <c r="B30" s="147" t="s">
        <v>438</v>
      </c>
      <c r="C30" s="148"/>
      <c r="D30" s="150"/>
      <c r="E30" s="150"/>
      <c r="F30" s="298"/>
      <c r="G30" s="298">
        <v>4500</v>
      </c>
      <c r="H30" s="129">
        <f t="shared" si="1"/>
        <v>4500</v>
      </c>
      <c r="I30" s="150"/>
      <c r="J30" s="150"/>
      <c r="K30" s="150"/>
      <c r="L30" s="150"/>
      <c r="M30" s="129"/>
      <c r="N30" s="150"/>
      <c r="O30" s="150"/>
      <c r="P30" s="150"/>
      <c r="Q30" s="150"/>
      <c r="R30" s="129"/>
      <c r="S30" s="150"/>
      <c r="T30" s="150"/>
      <c r="U30" s="150"/>
      <c r="V30" s="150"/>
      <c r="W30" s="129"/>
    </row>
    <row r="31" spans="1:24" s="119" customFormat="1" ht="63.75" customHeight="1" x14ac:dyDescent="0.2">
      <c r="A31" s="146" t="s">
        <v>439</v>
      </c>
      <c r="B31" s="147" t="s">
        <v>440</v>
      </c>
      <c r="C31" s="148"/>
      <c r="D31" s="150">
        <v>2300</v>
      </c>
      <c r="E31" s="150"/>
      <c r="F31" s="150"/>
      <c r="G31" s="150"/>
      <c r="H31" s="129">
        <f t="shared" si="1"/>
        <v>2300</v>
      </c>
      <c r="I31" s="150"/>
      <c r="J31" s="150"/>
      <c r="K31" s="150"/>
      <c r="L31" s="150"/>
      <c r="M31" s="129"/>
      <c r="N31" s="150"/>
      <c r="O31" s="150"/>
      <c r="P31" s="150"/>
      <c r="Q31" s="150"/>
      <c r="R31" s="129"/>
      <c r="S31" s="150"/>
      <c r="T31" s="150"/>
      <c r="U31" s="150"/>
      <c r="V31" s="150"/>
      <c r="W31" s="129"/>
    </row>
    <row r="32" spans="1:24" s="119" customFormat="1" ht="15" customHeight="1" x14ac:dyDescent="0.2">
      <c r="A32" s="146"/>
      <c r="B32" s="147" t="s">
        <v>436</v>
      </c>
      <c r="C32" s="148"/>
      <c r="D32" s="150"/>
      <c r="E32" s="150"/>
      <c r="F32" s="150"/>
      <c r="G32" s="150"/>
      <c r="H32" s="129">
        <f t="shared" si="1"/>
        <v>0</v>
      </c>
      <c r="I32" s="150"/>
      <c r="J32" s="150"/>
      <c r="K32" s="150"/>
      <c r="L32" s="150"/>
      <c r="M32" s="129"/>
      <c r="N32" s="150"/>
      <c r="O32" s="150"/>
      <c r="P32" s="150"/>
      <c r="Q32" s="150"/>
      <c r="R32" s="129"/>
      <c r="S32" s="150"/>
      <c r="T32" s="150"/>
      <c r="U32" s="150"/>
      <c r="V32" s="150"/>
      <c r="W32" s="129"/>
    </row>
    <row r="33" spans="1:23" s="119" customFormat="1" ht="12.75" x14ac:dyDescent="0.2">
      <c r="A33" s="146"/>
      <c r="B33" s="147" t="s">
        <v>438</v>
      </c>
      <c r="C33" s="148"/>
      <c r="D33" s="150"/>
      <c r="E33" s="150"/>
      <c r="F33" s="150"/>
      <c r="G33" s="150"/>
      <c r="H33" s="129">
        <f t="shared" si="1"/>
        <v>0</v>
      </c>
      <c r="I33" s="150"/>
      <c r="J33" s="150">
        <v>6000</v>
      </c>
      <c r="K33" s="150"/>
      <c r="L33" s="150"/>
      <c r="M33" s="129"/>
      <c r="N33" s="150"/>
      <c r="O33" s="150"/>
      <c r="P33" s="150"/>
      <c r="Q33" s="150"/>
      <c r="R33" s="129"/>
      <c r="S33" s="150"/>
      <c r="T33" s="150"/>
      <c r="U33" s="150"/>
      <c r="V33" s="150"/>
      <c r="W33" s="129"/>
    </row>
    <row r="34" spans="1:23" s="119" customFormat="1" ht="12.75" x14ac:dyDescent="0.2">
      <c r="A34" s="146"/>
      <c r="B34" s="147" t="s">
        <v>441</v>
      </c>
      <c r="C34" s="148"/>
      <c r="D34" s="150"/>
      <c r="E34" s="150"/>
      <c r="F34" s="298">
        <v>3000</v>
      </c>
      <c r="G34" s="298">
        <v>4000</v>
      </c>
      <c r="H34" s="129">
        <f t="shared" si="1"/>
        <v>7000</v>
      </c>
      <c r="I34" s="150"/>
      <c r="J34" s="150"/>
      <c r="K34" s="150"/>
      <c r="L34" s="150"/>
      <c r="M34" s="129"/>
      <c r="N34" s="150"/>
      <c r="O34" s="150"/>
      <c r="P34" s="150"/>
      <c r="Q34" s="150"/>
      <c r="R34" s="129"/>
      <c r="S34" s="150"/>
      <c r="T34" s="150"/>
      <c r="U34" s="150"/>
      <c r="V34" s="150"/>
      <c r="W34" s="129"/>
    </row>
    <row r="35" spans="1:23" s="119" customFormat="1" ht="12.75" x14ac:dyDescent="0.2">
      <c r="A35" s="146"/>
      <c r="B35" s="147" t="s">
        <v>442</v>
      </c>
      <c r="C35" s="148"/>
      <c r="D35" s="150"/>
      <c r="E35" s="150"/>
      <c r="F35" s="150"/>
      <c r="G35" s="150"/>
      <c r="H35" s="129">
        <f t="shared" si="1"/>
        <v>0</v>
      </c>
      <c r="I35" s="150">
        <v>3000</v>
      </c>
      <c r="J35" s="150"/>
      <c r="K35" s="150"/>
      <c r="L35" s="150"/>
      <c r="M35" s="129"/>
      <c r="N35" s="150"/>
      <c r="O35" s="150"/>
      <c r="P35" s="150"/>
      <c r="Q35" s="150"/>
      <c r="R35" s="129"/>
      <c r="S35" s="150"/>
      <c r="T35" s="150"/>
      <c r="U35" s="150"/>
      <c r="V35" s="150"/>
      <c r="W35" s="129"/>
    </row>
    <row r="36" spans="1:23" s="119" customFormat="1" ht="12.75" x14ac:dyDescent="0.2">
      <c r="A36" s="146"/>
      <c r="B36" s="147" t="s">
        <v>443</v>
      </c>
      <c r="C36" s="148"/>
      <c r="D36" s="150"/>
      <c r="E36" s="150"/>
      <c r="F36" s="150"/>
      <c r="G36" s="150"/>
      <c r="H36" s="129">
        <f t="shared" si="1"/>
        <v>0</v>
      </c>
      <c r="I36" s="150"/>
      <c r="J36" s="150"/>
      <c r="K36" s="150">
        <v>3000</v>
      </c>
      <c r="L36" s="150"/>
      <c r="M36" s="129"/>
      <c r="N36" s="150"/>
      <c r="O36" s="150"/>
      <c r="P36" s="150"/>
      <c r="Q36" s="150"/>
      <c r="R36" s="129"/>
      <c r="S36" s="150"/>
      <c r="T36" s="150"/>
      <c r="U36" s="150"/>
      <c r="V36" s="150"/>
      <c r="W36" s="129"/>
    </row>
    <row r="37" spans="1:23" s="119" customFormat="1" ht="38.25" x14ac:dyDescent="0.2">
      <c r="A37" s="146"/>
      <c r="B37" s="147" t="s">
        <v>444</v>
      </c>
      <c r="C37" s="148"/>
      <c r="D37" s="150"/>
      <c r="E37" s="150"/>
      <c r="F37" s="150"/>
      <c r="G37" s="150"/>
      <c r="H37" s="129">
        <f t="shared" si="1"/>
        <v>0</v>
      </c>
      <c r="I37" s="150">
        <v>2500</v>
      </c>
      <c r="J37" s="150"/>
      <c r="K37" s="150"/>
      <c r="L37" s="150"/>
      <c r="M37" s="129"/>
      <c r="N37" s="150"/>
      <c r="O37" s="150"/>
      <c r="P37" s="150"/>
      <c r="Q37" s="150"/>
      <c r="R37" s="129"/>
      <c r="S37" s="150"/>
      <c r="T37" s="150"/>
      <c r="U37" s="150"/>
      <c r="V37" s="150"/>
      <c r="W37" s="129"/>
    </row>
    <row r="38" spans="1:23" s="119" customFormat="1" ht="12.75" x14ac:dyDescent="0.2">
      <c r="A38" s="146"/>
      <c r="B38" s="147" t="s">
        <v>445</v>
      </c>
      <c r="C38" s="148"/>
      <c r="D38" s="150">
        <v>1000</v>
      </c>
      <c r="E38" s="150"/>
      <c r="F38" s="150"/>
      <c r="G38" s="150"/>
      <c r="H38" s="129">
        <f t="shared" si="1"/>
        <v>1000</v>
      </c>
      <c r="I38" s="150"/>
      <c r="J38" s="150"/>
      <c r="K38" s="150"/>
      <c r="L38" s="150"/>
      <c r="M38" s="129"/>
      <c r="N38" s="150"/>
      <c r="O38" s="150"/>
      <c r="P38" s="150"/>
      <c r="Q38" s="150"/>
      <c r="R38" s="129"/>
      <c r="S38" s="150"/>
      <c r="T38" s="150"/>
      <c r="U38" s="150"/>
      <c r="V38" s="150"/>
      <c r="W38" s="129"/>
    </row>
    <row r="39" spans="1:23" s="119" customFormat="1" ht="12.75" customHeight="1" x14ac:dyDescent="0.2">
      <c r="A39" s="146"/>
      <c r="B39" s="147" t="s">
        <v>446</v>
      </c>
      <c r="C39" s="148"/>
      <c r="D39" s="150"/>
      <c r="E39" s="150"/>
      <c r="F39" s="150"/>
      <c r="G39" s="150"/>
      <c r="H39" s="129">
        <f t="shared" si="1"/>
        <v>0</v>
      </c>
      <c r="I39" s="150"/>
      <c r="J39" s="150">
        <v>3000</v>
      </c>
      <c r="K39" s="150"/>
      <c r="L39" s="150"/>
      <c r="M39" s="129"/>
      <c r="N39" s="150"/>
      <c r="O39" s="150"/>
      <c r="P39" s="150"/>
      <c r="Q39" s="150"/>
      <c r="R39" s="129"/>
      <c r="S39" s="150"/>
      <c r="T39" s="150"/>
      <c r="U39" s="150"/>
      <c r="V39" s="150"/>
      <c r="W39" s="129"/>
    </row>
    <row r="40" spans="1:23" s="119" customFormat="1" ht="38.25" x14ac:dyDescent="0.2">
      <c r="A40" s="146" t="s">
        <v>447</v>
      </c>
      <c r="B40" s="147" t="s">
        <v>438</v>
      </c>
      <c r="C40" s="148"/>
      <c r="D40" s="150"/>
      <c r="E40" s="150"/>
      <c r="F40" s="150"/>
      <c r="G40" s="150"/>
      <c r="H40" s="129">
        <f t="shared" si="1"/>
        <v>0</v>
      </c>
      <c r="I40" s="150">
        <v>1500</v>
      </c>
      <c r="J40" s="150"/>
      <c r="K40" s="150"/>
      <c r="L40" s="150"/>
      <c r="M40" s="129"/>
      <c r="N40" s="150"/>
      <c r="O40" s="150"/>
      <c r="P40" s="150"/>
      <c r="Q40" s="150"/>
      <c r="R40" s="129"/>
      <c r="S40" s="150"/>
      <c r="T40" s="150"/>
      <c r="U40" s="150"/>
      <c r="V40" s="150"/>
      <c r="W40" s="129"/>
    </row>
    <row r="41" spans="1:23" s="119" customFormat="1" ht="12.75" x14ac:dyDescent="0.2">
      <c r="A41" s="146"/>
      <c r="B41" s="147" t="s">
        <v>442</v>
      </c>
      <c r="C41" s="148"/>
      <c r="D41" s="150"/>
      <c r="E41" s="150"/>
      <c r="F41" s="150"/>
      <c r="G41" s="150"/>
      <c r="H41" s="129">
        <f t="shared" si="1"/>
        <v>0</v>
      </c>
      <c r="I41" s="150">
        <v>1500</v>
      </c>
      <c r="J41" s="150"/>
      <c r="K41" s="150"/>
      <c r="L41" s="150"/>
      <c r="M41" s="129"/>
      <c r="N41" s="150"/>
      <c r="O41" s="150"/>
      <c r="P41" s="150"/>
      <c r="Q41" s="150"/>
      <c r="R41" s="129"/>
      <c r="S41" s="150"/>
      <c r="T41" s="150"/>
      <c r="U41" s="150"/>
      <c r="V41" s="150"/>
      <c r="W41" s="129"/>
    </row>
    <row r="42" spans="1:23" s="119" customFormat="1" ht="25.5" x14ac:dyDescent="0.2">
      <c r="A42" s="146" t="s">
        <v>448</v>
      </c>
      <c r="B42" s="147" t="s">
        <v>449</v>
      </c>
      <c r="C42" s="148"/>
      <c r="D42" s="150"/>
      <c r="E42" s="150"/>
      <c r="F42" s="150"/>
      <c r="G42" s="150"/>
      <c r="H42" s="129">
        <f t="shared" si="1"/>
        <v>0</v>
      </c>
      <c r="I42" s="150">
        <v>150</v>
      </c>
      <c r="J42" s="150"/>
      <c r="K42" s="150"/>
      <c r="L42" s="150"/>
      <c r="M42" s="129"/>
      <c r="N42" s="150"/>
      <c r="O42" s="150"/>
      <c r="P42" s="150"/>
      <c r="Q42" s="150"/>
      <c r="R42" s="129"/>
      <c r="S42" s="150"/>
      <c r="T42" s="150"/>
      <c r="U42" s="150"/>
      <c r="V42" s="150"/>
      <c r="W42" s="129"/>
    </row>
    <row r="43" spans="1:23" s="119" customFormat="1" ht="12.75" x14ac:dyDescent="0.2">
      <c r="A43" s="146"/>
      <c r="B43" s="147" t="s">
        <v>450</v>
      </c>
      <c r="C43" s="148"/>
      <c r="D43" s="150"/>
      <c r="E43" s="150"/>
      <c r="F43" s="298">
        <v>100</v>
      </c>
      <c r="G43" s="150"/>
      <c r="H43" s="129">
        <f t="shared" si="1"/>
        <v>100</v>
      </c>
      <c r="I43" s="150"/>
      <c r="J43" s="150"/>
      <c r="K43" s="150"/>
      <c r="L43" s="150"/>
      <c r="M43" s="129"/>
      <c r="N43" s="150"/>
      <c r="O43" s="150"/>
      <c r="P43" s="150"/>
      <c r="Q43" s="150"/>
      <c r="R43" s="129"/>
      <c r="S43" s="150"/>
      <c r="T43" s="150"/>
      <c r="U43" s="150"/>
      <c r="V43" s="150"/>
      <c r="W43" s="129"/>
    </row>
    <row r="44" spans="1:23" s="119" customFormat="1" ht="12.75" x14ac:dyDescent="0.2">
      <c r="A44" s="146"/>
      <c r="B44" s="147" t="s">
        <v>443</v>
      </c>
      <c r="C44" s="148"/>
      <c r="D44" s="150"/>
      <c r="E44" s="150"/>
      <c r="F44" s="150"/>
      <c r="G44" s="298">
        <v>100</v>
      </c>
      <c r="H44" s="129">
        <f t="shared" si="1"/>
        <v>100</v>
      </c>
      <c r="I44" s="150"/>
      <c r="J44" s="150"/>
      <c r="K44" s="150"/>
      <c r="L44" s="150"/>
      <c r="M44" s="129"/>
      <c r="N44" s="150"/>
      <c r="O44" s="150"/>
      <c r="P44" s="150"/>
      <c r="Q44" s="150"/>
      <c r="R44" s="129"/>
      <c r="S44" s="150"/>
      <c r="T44" s="150"/>
      <c r="U44" s="150"/>
      <c r="V44" s="150"/>
      <c r="W44" s="129"/>
    </row>
    <row r="45" spans="1:23" s="119" customFormat="1" ht="38.25" x14ac:dyDescent="0.2">
      <c r="A45" s="146"/>
      <c r="B45" s="147" t="s">
        <v>451</v>
      </c>
      <c r="C45" s="148"/>
      <c r="D45" s="150"/>
      <c r="E45" s="150"/>
      <c r="F45" s="150"/>
      <c r="G45" s="150"/>
      <c r="H45" s="129"/>
      <c r="I45" s="150"/>
      <c r="J45" s="150"/>
      <c r="K45" s="150"/>
      <c r="L45" s="150"/>
      <c r="M45" s="129"/>
      <c r="N45" s="150"/>
      <c r="O45" s="150"/>
      <c r="P45" s="150"/>
      <c r="Q45" s="150"/>
      <c r="R45" s="129"/>
      <c r="S45" s="150"/>
      <c r="T45" s="150"/>
      <c r="U45" s="150">
        <v>150</v>
      </c>
      <c r="V45" s="150"/>
      <c r="W45" s="129"/>
    </row>
    <row r="46" spans="1:23" s="119" customFormat="1" ht="38.25" x14ac:dyDescent="0.2">
      <c r="A46" s="146"/>
      <c r="B46" s="147" t="s">
        <v>452</v>
      </c>
      <c r="C46" s="148"/>
      <c r="D46" s="150"/>
      <c r="E46" s="150"/>
      <c r="F46" s="150"/>
      <c r="G46" s="150"/>
      <c r="H46" s="129">
        <f t="shared" si="1"/>
        <v>0</v>
      </c>
      <c r="I46" s="150"/>
      <c r="J46" s="150"/>
      <c r="K46" s="150"/>
      <c r="L46" s="150"/>
      <c r="M46" s="129"/>
      <c r="N46" s="150"/>
      <c r="O46" s="150"/>
      <c r="P46" s="150"/>
      <c r="Q46" s="150"/>
      <c r="R46" s="129"/>
      <c r="S46" s="150"/>
      <c r="T46" s="150"/>
      <c r="U46" s="150"/>
      <c r="V46" s="150"/>
      <c r="W46" s="129"/>
    </row>
    <row r="47" spans="1:23" s="119" customFormat="1" ht="12.75" x14ac:dyDescent="0.2">
      <c r="A47" s="146"/>
      <c r="B47" s="147" t="s">
        <v>453</v>
      </c>
      <c r="C47" s="148"/>
      <c r="D47" s="150"/>
      <c r="E47" s="150"/>
      <c r="F47" s="150"/>
      <c r="G47" s="298">
        <v>300</v>
      </c>
      <c r="H47" s="129">
        <f t="shared" si="1"/>
        <v>300</v>
      </c>
      <c r="I47" s="150"/>
      <c r="J47" s="150"/>
      <c r="K47" s="150"/>
      <c r="L47" s="150"/>
      <c r="M47" s="129"/>
      <c r="N47" s="150"/>
      <c r="O47" s="150"/>
      <c r="P47" s="150"/>
      <c r="Q47" s="150"/>
      <c r="R47" s="129"/>
      <c r="S47" s="150"/>
      <c r="T47" s="150"/>
      <c r="U47" s="150"/>
      <c r="V47" s="150"/>
      <c r="W47" s="129"/>
    </row>
    <row r="48" spans="1:23" s="119" customFormat="1" ht="38.25" x14ac:dyDescent="0.2">
      <c r="A48" s="146"/>
      <c r="B48" s="147" t="s">
        <v>444</v>
      </c>
      <c r="C48" s="148"/>
      <c r="D48" s="150">
        <v>300</v>
      </c>
      <c r="E48" s="150"/>
      <c r="F48" s="150"/>
      <c r="G48" s="150"/>
      <c r="H48" s="129">
        <f t="shared" si="1"/>
        <v>300</v>
      </c>
      <c r="I48" s="150"/>
      <c r="J48" s="150"/>
      <c r="K48" s="150"/>
      <c r="L48" s="150"/>
      <c r="M48" s="129"/>
      <c r="N48" s="150"/>
      <c r="O48" s="150"/>
      <c r="P48" s="150"/>
      <c r="Q48" s="150"/>
      <c r="R48" s="129"/>
      <c r="S48" s="150"/>
      <c r="T48" s="150"/>
      <c r="U48" s="150"/>
      <c r="V48" s="150"/>
      <c r="W48" s="129"/>
    </row>
    <row r="49" spans="1:23" s="119" customFormat="1" ht="38.25" x14ac:dyDescent="0.2">
      <c r="A49" s="146"/>
      <c r="B49" s="147" t="s">
        <v>454</v>
      </c>
      <c r="C49" s="148"/>
      <c r="D49" s="150"/>
      <c r="E49" s="150"/>
      <c r="F49" s="150"/>
      <c r="G49" s="150"/>
      <c r="H49" s="129">
        <f t="shared" si="1"/>
        <v>0</v>
      </c>
      <c r="I49" s="150">
        <v>150</v>
      </c>
      <c r="J49" s="150"/>
      <c r="K49" s="150"/>
      <c r="L49" s="150"/>
      <c r="M49" s="129"/>
      <c r="N49" s="150"/>
      <c r="O49" s="150"/>
      <c r="P49" s="150"/>
      <c r="Q49" s="150"/>
      <c r="R49" s="129"/>
      <c r="S49" s="150"/>
      <c r="T49" s="150"/>
      <c r="U49" s="150"/>
      <c r="V49" s="150"/>
      <c r="W49" s="129"/>
    </row>
    <row r="50" spans="1:23" s="119" customFormat="1" ht="12.75" x14ac:dyDescent="0.2">
      <c r="A50" s="146"/>
      <c r="B50" s="147" t="s">
        <v>455</v>
      </c>
      <c r="C50" s="148"/>
      <c r="D50" s="150"/>
      <c r="E50" s="150"/>
      <c r="F50" s="150"/>
      <c r="G50" s="150"/>
      <c r="H50" s="129"/>
      <c r="I50" s="150">
        <v>300</v>
      </c>
      <c r="J50" s="150"/>
      <c r="K50" s="150"/>
      <c r="L50" s="150"/>
      <c r="M50" s="129"/>
      <c r="N50" s="150"/>
      <c r="O50" s="150"/>
      <c r="P50" s="150"/>
      <c r="Q50" s="150"/>
      <c r="R50" s="129"/>
      <c r="S50" s="150"/>
      <c r="T50" s="150"/>
      <c r="U50" s="150"/>
      <c r="V50" s="150"/>
      <c r="W50" s="129"/>
    </row>
    <row r="51" spans="1:23" s="119" customFormat="1" ht="12.75" x14ac:dyDescent="0.2">
      <c r="A51" s="146"/>
      <c r="B51" s="147" t="s">
        <v>456</v>
      </c>
      <c r="C51" s="148"/>
      <c r="D51" s="150"/>
      <c r="E51" s="150"/>
      <c r="F51" s="150"/>
      <c r="G51" s="150"/>
      <c r="H51" s="129"/>
      <c r="I51" s="150">
        <v>300</v>
      </c>
      <c r="J51" s="150"/>
      <c r="K51" s="150"/>
      <c r="L51" s="150"/>
      <c r="M51" s="129"/>
      <c r="N51" s="150"/>
      <c r="O51" s="150"/>
      <c r="P51" s="150"/>
      <c r="Q51" s="150"/>
      <c r="R51" s="129"/>
      <c r="S51" s="150"/>
      <c r="T51" s="150"/>
      <c r="U51" s="150"/>
      <c r="V51" s="150"/>
      <c r="W51" s="129"/>
    </row>
    <row r="52" spans="1:23" s="119" customFormat="1" ht="12.75" x14ac:dyDescent="0.2">
      <c r="A52" s="146"/>
      <c r="B52" s="147" t="s">
        <v>457</v>
      </c>
      <c r="C52" s="148"/>
      <c r="D52" s="150"/>
      <c r="E52" s="150"/>
      <c r="F52" s="150"/>
      <c r="G52" s="150"/>
      <c r="H52" s="129"/>
      <c r="I52" s="150"/>
      <c r="J52" s="150">
        <v>300</v>
      </c>
      <c r="K52" s="150"/>
      <c r="L52" s="150"/>
      <c r="M52" s="129"/>
      <c r="N52" s="150"/>
      <c r="O52" s="150"/>
      <c r="P52" s="150"/>
      <c r="Q52" s="150"/>
      <c r="R52" s="129"/>
      <c r="S52" s="150"/>
      <c r="T52" s="150"/>
      <c r="U52" s="150"/>
      <c r="V52" s="150"/>
      <c r="W52" s="129"/>
    </row>
    <row r="53" spans="1:23" s="119" customFormat="1" ht="12.75" x14ac:dyDescent="0.2">
      <c r="A53" s="146"/>
      <c r="B53" s="147" t="s">
        <v>458</v>
      </c>
      <c r="C53" s="148"/>
      <c r="D53" s="150"/>
      <c r="E53" s="150"/>
      <c r="F53" s="150"/>
      <c r="G53" s="150"/>
      <c r="H53" s="129">
        <f t="shared" si="1"/>
        <v>0</v>
      </c>
      <c r="I53" s="150"/>
      <c r="J53" s="150">
        <v>150</v>
      </c>
      <c r="K53" s="150"/>
      <c r="L53" s="150"/>
      <c r="M53" s="129"/>
      <c r="N53" s="150"/>
      <c r="O53" s="150"/>
      <c r="P53" s="150"/>
      <c r="Q53" s="150"/>
      <c r="R53" s="129"/>
      <c r="S53" s="150"/>
      <c r="T53" s="150"/>
      <c r="U53" s="150"/>
      <c r="V53" s="150"/>
      <c r="W53" s="129"/>
    </row>
    <row r="54" spans="1:23" s="119" customFormat="1" ht="12.75" x14ac:dyDescent="0.2">
      <c r="A54" s="146"/>
      <c r="B54" s="147" t="s">
        <v>440</v>
      </c>
      <c r="C54" s="148"/>
      <c r="D54" s="150"/>
      <c r="E54" s="150"/>
      <c r="F54" s="150"/>
      <c r="G54" s="150"/>
      <c r="H54" s="129"/>
      <c r="I54" s="150"/>
      <c r="J54" s="150"/>
      <c r="K54" s="150"/>
      <c r="L54" s="150"/>
      <c r="M54" s="129"/>
      <c r="N54" s="150"/>
      <c r="O54" s="150"/>
      <c r="P54" s="150"/>
      <c r="Q54" s="150"/>
      <c r="R54" s="129"/>
      <c r="S54" s="150"/>
      <c r="T54" s="150"/>
      <c r="U54" s="150"/>
      <c r="V54" s="150"/>
      <c r="W54" s="129"/>
    </row>
    <row r="55" spans="1:23" s="119" customFormat="1" ht="12.75" x14ac:dyDescent="0.2">
      <c r="A55" s="146"/>
      <c r="B55" s="147" t="s">
        <v>459</v>
      </c>
      <c r="C55" s="148"/>
      <c r="D55" s="150"/>
      <c r="E55" s="150"/>
      <c r="F55" s="150"/>
      <c r="G55" s="150"/>
      <c r="H55" s="129">
        <f t="shared" si="1"/>
        <v>0</v>
      </c>
      <c r="I55" s="150"/>
      <c r="J55" s="150"/>
      <c r="K55" s="150"/>
      <c r="L55" s="150"/>
      <c r="M55" s="129"/>
      <c r="N55" s="150">
        <v>300</v>
      </c>
      <c r="O55" s="150"/>
      <c r="P55" s="150"/>
      <c r="Q55" s="150"/>
      <c r="R55" s="129"/>
      <c r="S55" s="150"/>
      <c r="T55" s="150"/>
      <c r="U55" s="150"/>
      <c r="V55" s="150"/>
      <c r="W55" s="129"/>
    </row>
    <row r="56" spans="1:23" s="119" customFormat="1" ht="12.75" x14ac:dyDescent="0.2">
      <c r="A56" s="146"/>
      <c r="B56" s="147" t="s">
        <v>460</v>
      </c>
      <c r="C56" s="148"/>
      <c r="D56" s="150"/>
      <c r="E56" s="150"/>
      <c r="F56" s="150"/>
      <c r="G56" s="150"/>
      <c r="H56" s="129">
        <f t="shared" si="1"/>
        <v>0</v>
      </c>
      <c r="I56" s="150"/>
      <c r="J56" s="150"/>
      <c r="K56" s="150"/>
      <c r="L56" s="150">
        <v>150</v>
      </c>
      <c r="M56" s="129"/>
      <c r="N56" s="150"/>
      <c r="O56" s="150"/>
      <c r="P56" s="150"/>
      <c r="Q56" s="150"/>
      <c r="R56" s="129"/>
      <c r="S56" s="150"/>
      <c r="T56" s="150"/>
      <c r="U56" s="150"/>
      <c r="V56" s="150"/>
      <c r="W56" s="129"/>
    </row>
    <row r="57" spans="1:23" s="119" customFormat="1" ht="12.75" x14ac:dyDescent="0.2">
      <c r="A57" s="146"/>
      <c r="B57" s="147" t="s">
        <v>461</v>
      </c>
      <c r="C57" s="148"/>
      <c r="D57" s="150"/>
      <c r="E57" s="150"/>
      <c r="F57" s="150"/>
      <c r="G57" s="150"/>
      <c r="H57" s="129">
        <f t="shared" si="1"/>
        <v>0</v>
      </c>
      <c r="I57" s="150">
        <v>200</v>
      </c>
      <c r="J57" s="150">
        <v>150</v>
      </c>
      <c r="K57" s="150"/>
      <c r="L57" s="150"/>
      <c r="M57" s="129"/>
      <c r="N57" s="150"/>
      <c r="O57" s="150"/>
      <c r="P57" s="150"/>
      <c r="Q57" s="150"/>
      <c r="R57" s="129"/>
      <c r="S57" s="150"/>
      <c r="T57" s="150"/>
      <c r="U57" s="150"/>
      <c r="V57" s="150"/>
      <c r="W57" s="129"/>
    </row>
    <row r="58" spans="1:23" s="119" customFormat="1" ht="12.75" x14ac:dyDescent="0.2">
      <c r="A58" s="146"/>
      <c r="B58" s="147" t="s">
        <v>462</v>
      </c>
      <c r="C58" s="148"/>
      <c r="D58" s="150"/>
      <c r="E58" s="150"/>
      <c r="F58" s="150"/>
      <c r="G58" s="150"/>
      <c r="H58" s="129"/>
      <c r="I58" s="150"/>
      <c r="J58" s="150"/>
      <c r="K58" s="150"/>
      <c r="L58" s="150"/>
      <c r="M58" s="129"/>
      <c r="N58" s="150"/>
      <c r="O58" s="150"/>
      <c r="P58" s="150"/>
      <c r="Q58" s="150">
        <v>200</v>
      </c>
      <c r="R58" s="129"/>
      <c r="S58" s="150"/>
      <c r="T58" s="150"/>
      <c r="U58" s="150"/>
      <c r="V58" s="150"/>
      <c r="W58" s="129"/>
    </row>
    <row r="59" spans="1:23" s="119" customFormat="1" ht="12.75" x14ac:dyDescent="0.2">
      <c r="A59" s="146"/>
      <c r="B59" s="147" t="s">
        <v>436</v>
      </c>
      <c r="C59" s="148"/>
      <c r="D59" s="150"/>
      <c r="E59" s="150"/>
      <c r="F59" s="150"/>
      <c r="G59" s="150"/>
      <c r="H59" s="129"/>
      <c r="I59" s="150"/>
      <c r="J59" s="150"/>
      <c r="K59" s="150"/>
      <c r="L59" s="150">
        <v>150</v>
      </c>
      <c r="M59" s="129"/>
      <c r="N59" s="150"/>
      <c r="O59" s="150"/>
      <c r="P59" s="150"/>
      <c r="Q59" s="150"/>
      <c r="R59" s="129"/>
      <c r="S59" s="150"/>
      <c r="T59" s="150"/>
      <c r="U59" s="150"/>
      <c r="V59" s="150"/>
      <c r="W59" s="129"/>
    </row>
    <row r="60" spans="1:23" s="119" customFormat="1" ht="12.75" x14ac:dyDescent="0.2">
      <c r="A60" s="146"/>
      <c r="B60" s="147" t="s">
        <v>463</v>
      </c>
      <c r="C60" s="148"/>
      <c r="D60" s="150"/>
      <c r="E60" s="150"/>
      <c r="F60" s="150"/>
      <c r="G60" s="150"/>
      <c r="H60" s="129"/>
      <c r="I60" s="150">
        <v>150</v>
      </c>
      <c r="J60" s="150"/>
      <c r="K60" s="150"/>
      <c r="L60" s="150"/>
      <c r="M60" s="129"/>
      <c r="N60" s="150"/>
      <c r="O60" s="150"/>
      <c r="P60" s="150"/>
      <c r="Q60" s="150"/>
      <c r="R60" s="129"/>
      <c r="S60" s="150"/>
      <c r="T60" s="150"/>
      <c r="U60" s="150"/>
      <c r="V60" s="150"/>
      <c r="W60" s="129"/>
    </row>
    <row r="61" spans="1:23" s="119" customFormat="1" ht="12.75" x14ac:dyDescent="0.2">
      <c r="A61" s="146"/>
      <c r="B61" s="147" t="s">
        <v>438</v>
      </c>
      <c r="C61" s="148"/>
      <c r="D61" s="150"/>
      <c r="E61" s="150"/>
      <c r="F61" s="298">
        <v>100</v>
      </c>
      <c r="G61" s="298"/>
      <c r="H61" s="129"/>
      <c r="I61" s="150"/>
      <c r="J61" s="150"/>
      <c r="K61" s="150"/>
      <c r="L61" s="150"/>
      <c r="M61" s="129"/>
      <c r="N61" s="150"/>
      <c r="O61" s="150"/>
      <c r="P61" s="150"/>
      <c r="Q61" s="150"/>
      <c r="R61" s="129"/>
      <c r="S61" s="150"/>
      <c r="T61" s="150"/>
      <c r="U61" s="150"/>
      <c r="V61" s="150"/>
      <c r="W61" s="129"/>
    </row>
    <row r="62" spans="1:23" s="119" customFormat="1" ht="12.75" x14ac:dyDescent="0.2">
      <c r="A62" s="146"/>
      <c r="B62" s="147" t="s">
        <v>464</v>
      </c>
      <c r="C62" s="148"/>
      <c r="D62" s="150"/>
      <c r="E62" s="150"/>
      <c r="F62" s="150"/>
      <c r="G62" s="150"/>
      <c r="H62" s="129">
        <f t="shared" si="1"/>
        <v>0</v>
      </c>
      <c r="I62" s="150"/>
      <c r="J62" s="150">
        <v>150</v>
      </c>
      <c r="K62" s="150"/>
      <c r="L62" s="150"/>
      <c r="M62" s="129"/>
      <c r="N62" s="150"/>
      <c r="O62" s="150"/>
      <c r="P62" s="150"/>
      <c r="Q62" s="150"/>
      <c r="R62" s="129"/>
      <c r="S62" s="150"/>
      <c r="T62" s="150"/>
      <c r="U62" s="150"/>
      <c r="V62" s="150"/>
      <c r="W62" s="129"/>
    </row>
    <row r="63" spans="1:23" s="119" customFormat="1" ht="12.75" x14ac:dyDescent="0.2">
      <c r="A63" s="146"/>
      <c r="B63" s="147" t="s">
        <v>465</v>
      </c>
      <c r="C63" s="148"/>
      <c r="D63" s="150"/>
      <c r="E63" s="150"/>
      <c r="F63" s="150"/>
      <c r="G63" s="150"/>
      <c r="H63" s="129"/>
      <c r="I63" s="150"/>
      <c r="J63" s="150"/>
      <c r="K63" s="150"/>
      <c r="L63" s="150">
        <v>200</v>
      </c>
      <c r="M63" s="129"/>
      <c r="N63" s="150"/>
      <c r="O63" s="150"/>
      <c r="P63" s="150"/>
      <c r="Q63" s="150"/>
      <c r="R63" s="129"/>
      <c r="S63" s="150"/>
      <c r="T63" s="150"/>
      <c r="U63" s="150"/>
      <c r="V63" s="150"/>
      <c r="W63" s="129"/>
    </row>
    <row r="64" spans="1:23" s="119" customFormat="1" ht="12.75" x14ac:dyDescent="0.2">
      <c r="A64" s="146"/>
      <c r="B64" s="147" t="s">
        <v>466</v>
      </c>
      <c r="C64" s="148"/>
      <c r="D64" s="150"/>
      <c r="E64" s="150"/>
      <c r="F64" s="150"/>
      <c r="G64" s="150"/>
      <c r="H64" s="129"/>
      <c r="I64" s="150"/>
      <c r="J64" s="150">
        <v>150</v>
      </c>
      <c r="K64" s="150"/>
      <c r="L64" s="150"/>
      <c r="M64" s="129"/>
      <c r="N64" s="150"/>
      <c r="O64" s="150"/>
      <c r="P64" s="150"/>
      <c r="Q64" s="150">
        <v>200</v>
      </c>
      <c r="R64" s="129"/>
      <c r="S64" s="150"/>
      <c r="T64" s="150"/>
      <c r="U64" s="150"/>
      <c r="V64" s="150"/>
      <c r="W64" s="129"/>
    </row>
    <row r="65" spans="1:23" s="119" customFormat="1" ht="12.75" x14ac:dyDescent="0.2">
      <c r="A65" s="146"/>
      <c r="B65" s="147" t="s">
        <v>467</v>
      </c>
      <c r="C65" s="148"/>
      <c r="D65" s="150"/>
      <c r="E65" s="150"/>
      <c r="F65" s="150"/>
      <c r="G65" s="150"/>
      <c r="H65" s="129">
        <f t="shared" si="1"/>
        <v>0</v>
      </c>
      <c r="I65" s="150">
        <v>300</v>
      </c>
      <c r="J65" s="150"/>
      <c r="K65" s="150"/>
      <c r="L65" s="150"/>
      <c r="M65" s="129"/>
      <c r="N65" s="150"/>
      <c r="O65" s="150"/>
      <c r="P65" s="150"/>
      <c r="Q65" s="150"/>
      <c r="R65" s="129"/>
      <c r="S65" s="150"/>
      <c r="T65" s="150"/>
      <c r="U65" s="150"/>
      <c r="V65" s="150"/>
      <c r="W65" s="129"/>
    </row>
    <row r="66" spans="1:23" s="119" customFormat="1" ht="12.75" x14ac:dyDescent="0.2">
      <c r="A66" s="146"/>
      <c r="B66" s="147" t="s">
        <v>445</v>
      </c>
      <c r="C66" s="148"/>
      <c r="D66" s="150">
        <v>194</v>
      </c>
      <c r="E66" s="150"/>
      <c r="F66" s="150"/>
      <c r="G66" s="150"/>
      <c r="H66" s="129">
        <f t="shared" si="1"/>
        <v>194</v>
      </c>
      <c r="I66" s="150"/>
      <c r="J66" s="150"/>
      <c r="K66" s="150"/>
      <c r="L66" s="150"/>
      <c r="M66" s="129"/>
      <c r="N66" s="150"/>
      <c r="O66" s="150"/>
      <c r="P66" s="150"/>
      <c r="Q66" s="150"/>
      <c r="R66" s="129"/>
      <c r="S66" s="150"/>
      <c r="T66" s="150"/>
      <c r="U66" s="150"/>
      <c r="V66" s="150"/>
      <c r="W66" s="129"/>
    </row>
    <row r="67" spans="1:23" s="119" customFormat="1" ht="12.75" x14ac:dyDescent="0.2">
      <c r="A67" s="146"/>
      <c r="B67" s="147" t="s">
        <v>468</v>
      </c>
      <c r="C67" s="148"/>
      <c r="D67" s="150"/>
      <c r="E67" s="150"/>
      <c r="F67" s="150"/>
      <c r="G67" s="150"/>
      <c r="H67" s="129"/>
      <c r="I67" s="150"/>
      <c r="J67" s="150"/>
      <c r="K67" s="150"/>
      <c r="L67" s="150"/>
      <c r="M67" s="129"/>
      <c r="N67" s="150"/>
      <c r="O67" s="150"/>
      <c r="P67" s="150"/>
      <c r="Q67" s="150"/>
      <c r="R67" s="129"/>
      <c r="S67" s="150"/>
      <c r="T67" s="150"/>
      <c r="U67" s="150"/>
      <c r="V67" s="150"/>
      <c r="W67" s="129"/>
    </row>
    <row r="68" spans="1:23" s="119" customFormat="1" ht="12.75" x14ac:dyDescent="0.2">
      <c r="A68" s="146"/>
      <c r="B68" s="147" t="s">
        <v>433</v>
      </c>
      <c r="C68" s="148"/>
      <c r="D68" s="150"/>
      <c r="E68" s="150"/>
      <c r="F68" s="298">
        <v>100</v>
      </c>
      <c r="G68" s="298"/>
      <c r="H68" s="129"/>
      <c r="I68" s="150"/>
      <c r="J68" s="150"/>
      <c r="K68" s="150"/>
      <c r="L68" s="150"/>
      <c r="M68" s="129"/>
      <c r="N68" s="150"/>
      <c r="O68" s="150"/>
      <c r="P68" s="150"/>
      <c r="Q68" s="150"/>
      <c r="R68" s="129"/>
      <c r="S68" s="150"/>
      <c r="T68" s="150"/>
      <c r="U68" s="150"/>
      <c r="V68" s="150"/>
      <c r="W68" s="129"/>
    </row>
    <row r="69" spans="1:23" s="119" customFormat="1" ht="12.75" x14ac:dyDescent="0.2">
      <c r="A69" s="146"/>
      <c r="B69" s="147" t="s">
        <v>469</v>
      </c>
      <c r="C69" s="148"/>
      <c r="D69" s="150"/>
      <c r="E69" s="150"/>
      <c r="F69" s="150"/>
      <c r="G69" s="150"/>
      <c r="H69" s="129"/>
      <c r="I69" s="150">
        <v>150</v>
      </c>
      <c r="J69" s="150"/>
      <c r="K69" s="150"/>
      <c r="L69" s="150"/>
      <c r="M69" s="129"/>
      <c r="N69" s="150"/>
      <c r="O69" s="150"/>
      <c r="P69" s="150"/>
      <c r="Q69" s="150"/>
      <c r="R69" s="129"/>
      <c r="S69" s="150"/>
      <c r="T69" s="150"/>
      <c r="U69" s="150"/>
      <c r="V69" s="150"/>
      <c r="W69" s="129"/>
    </row>
    <row r="70" spans="1:23" s="119" customFormat="1" ht="12.75" x14ac:dyDescent="0.2">
      <c r="A70" s="146"/>
      <c r="B70" s="147" t="s">
        <v>470</v>
      </c>
      <c r="C70" s="148"/>
      <c r="D70" s="150"/>
      <c r="E70" s="150"/>
      <c r="F70" s="150"/>
      <c r="G70" s="150"/>
      <c r="H70" s="129"/>
      <c r="I70" s="150"/>
      <c r="J70" s="150"/>
      <c r="K70" s="150">
        <v>150</v>
      </c>
      <c r="L70" s="150"/>
      <c r="M70" s="129"/>
      <c r="N70" s="150"/>
      <c r="O70" s="150"/>
      <c r="P70" s="150"/>
      <c r="Q70" s="150"/>
      <c r="R70" s="129"/>
      <c r="S70" s="150"/>
      <c r="T70" s="150"/>
      <c r="U70" s="150"/>
      <c r="V70" s="150"/>
      <c r="W70" s="129"/>
    </row>
    <row r="71" spans="1:23" s="119" customFormat="1" ht="12.75" customHeight="1" x14ac:dyDescent="0.2">
      <c r="A71" s="146"/>
      <c r="B71" s="147" t="s">
        <v>471</v>
      </c>
      <c r="C71" s="148"/>
      <c r="D71" s="150"/>
      <c r="E71" s="150"/>
      <c r="F71" s="150"/>
      <c r="G71" s="298">
        <v>150</v>
      </c>
      <c r="H71" s="129">
        <f t="shared" si="1"/>
        <v>150</v>
      </c>
      <c r="I71" s="150"/>
      <c r="J71" s="150"/>
      <c r="K71" s="150"/>
      <c r="L71" s="150"/>
      <c r="M71" s="129"/>
      <c r="N71" s="150"/>
      <c r="O71" s="150"/>
      <c r="P71" s="150"/>
      <c r="Q71" s="150"/>
      <c r="R71" s="129"/>
      <c r="S71" s="150"/>
      <c r="T71" s="150"/>
      <c r="U71" s="150"/>
      <c r="V71" s="150"/>
      <c r="W71" s="129"/>
    </row>
    <row r="72" spans="1:23" s="119" customFormat="1" ht="12.75" customHeight="1" x14ac:dyDescent="0.2">
      <c r="A72" s="146"/>
      <c r="B72" s="147" t="s">
        <v>472</v>
      </c>
      <c r="C72" s="148"/>
      <c r="D72" s="150"/>
      <c r="E72" s="150"/>
      <c r="F72" s="150"/>
      <c r="G72" s="298">
        <v>150</v>
      </c>
      <c r="H72" s="129"/>
      <c r="I72" s="150"/>
      <c r="J72" s="150"/>
      <c r="K72" s="150"/>
      <c r="L72" s="150"/>
      <c r="M72" s="129"/>
      <c r="N72" s="150"/>
      <c r="O72" s="150"/>
      <c r="P72" s="150"/>
      <c r="Q72" s="150"/>
      <c r="R72" s="129"/>
      <c r="S72" s="150"/>
      <c r="T72" s="150"/>
      <c r="U72" s="150"/>
      <c r="V72" s="150"/>
      <c r="W72" s="129"/>
    </row>
    <row r="73" spans="1:23" s="119" customFormat="1" ht="12.75" x14ac:dyDescent="0.2">
      <c r="A73" s="146"/>
      <c r="B73" s="147" t="s">
        <v>473</v>
      </c>
      <c r="C73" s="148"/>
      <c r="D73" s="150"/>
      <c r="E73" s="150"/>
      <c r="F73" s="150"/>
      <c r="G73" s="298">
        <v>150</v>
      </c>
      <c r="H73" s="129">
        <f t="shared" si="1"/>
        <v>150</v>
      </c>
      <c r="I73" s="150"/>
      <c r="J73" s="150"/>
      <c r="K73" s="150"/>
      <c r="L73" s="150"/>
      <c r="M73" s="129"/>
      <c r="N73" s="150"/>
      <c r="O73" s="150"/>
      <c r="P73" s="150"/>
      <c r="Q73" s="150"/>
      <c r="R73" s="129"/>
      <c r="S73" s="150"/>
      <c r="T73" s="150"/>
      <c r="U73" s="150"/>
      <c r="V73" s="150"/>
      <c r="W73" s="129"/>
    </row>
    <row r="74" spans="1:23" s="119" customFormat="1" ht="12.75" x14ac:dyDescent="0.2">
      <c r="A74" s="146"/>
      <c r="B74" s="147" t="s">
        <v>441</v>
      </c>
      <c r="C74" s="148"/>
      <c r="D74" s="150">
        <v>100</v>
      </c>
      <c r="E74" s="150"/>
      <c r="F74" s="298">
        <v>100</v>
      </c>
      <c r="G74" s="298"/>
      <c r="H74" s="129">
        <f t="shared" si="1"/>
        <v>200</v>
      </c>
      <c r="I74" s="150"/>
      <c r="J74" s="150"/>
      <c r="K74" s="150"/>
      <c r="L74" s="150"/>
      <c r="M74" s="129"/>
      <c r="N74" s="150"/>
      <c r="O74" s="150"/>
      <c r="P74" s="150"/>
      <c r="Q74" s="150"/>
      <c r="R74" s="129"/>
      <c r="S74" s="150"/>
      <c r="T74" s="150"/>
      <c r="U74" s="150"/>
      <c r="V74" s="150"/>
      <c r="W74" s="129"/>
    </row>
    <row r="75" spans="1:23" s="119" customFormat="1" ht="12.75" x14ac:dyDescent="0.2">
      <c r="A75" s="146"/>
      <c r="B75" s="147" t="s">
        <v>435</v>
      </c>
      <c r="C75" s="148"/>
      <c r="D75" s="150"/>
      <c r="E75" s="150"/>
      <c r="F75" s="150"/>
      <c r="G75" s="298">
        <v>300</v>
      </c>
      <c r="H75" s="129">
        <f t="shared" si="1"/>
        <v>300</v>
      </c>
      <c r="I75" s="150"/>
      <c r="J75" s="150"/>
      <c r="K75" s="150"/>
      <c r="L75" s="150"/>
      <c r="M75" s="129"/>
      <c r="N75" s="150"/>
      <c r="O75" s="150"/>
      <c r="P75" s="150"/>
      <c r="Q75" s="150"/>
      <c r="R75" s="129"/>
      <c r="S75" s="150"/>
      <c r="T75" s="150"/>
      <c r="U75" s="150"/>
      <c r="V75" s="150"/>
      <c r="W75" s="129"/>
    </row>
    <row r="76" spans="1:23" s="119" customFormat="1" ht="38.25" x14ac:dyDescent="0.2">
      <c r="A76" s="146"/>
      <c r="B76" s="147" t="s">
        <v>474</v>
      </c>
      <c r="C76" s="148"/>
      <c r="D76" s="150"/>
      <c r="E76" s="150"/>
      <c r="F76" s="150"/>
      <c r="G76" s="150"/>
      <c r="H76" s="129"/>
      <c r="I76" s="150"/>
      <c r="J76" s="150"/>
      <c r="K76" s="150"/>
      <c r="L76" s="150">
        <v>300</v>
      </c>
      <c r="M76" s="129"/>
      <c r="N76" s="150"/>
      <c r="O76" s="150"/>
      <c r="P76" s="150"/>
      <c r="Q76" s="150"/>
      <c r="R76" s="129"/>
      <c r="S76" s="150"/>
      <c r="T76" s="150"/>
      <c r="U76" s="150"/>
      <c r="V76" s="150"/>
      <c r="W76" s="129"/>
    </row>
    <row r="77" spans="1:23" s="119" customFormat="1" ht="25.5" x14ac:dyDescent="0.2">
      <c r="A77" s="146"/>
      <c r="B77" s="147" t="s">
        <v>446</v>
      </c>
      <c r="C77" s="148"/>
      <c r="D77" s="150"/>
      <c r="E77" s="150"/>
      <c r="F77" s="150"/>
      <c r="G77" s="150"/>
      <c r="H77" s="129"/>
      <c r="I77" s="150"/>
      <c r="J77" s="150"/>
      <c r="K77" s="150">
        <v>200</v>
      </c>
      <c r="L77" s="150"/>
      <c r="M77" s="129"/>
      <c r="N77" s="150"/>
      <c r="O77" s="150"/>
      <c r="P77" s="150"/>
      <c r="Q77" s="150"/>
      <c r="R77" s="129"/>
      <c r="S77" s="150"/>
      <c r="T77" s="150"/>
      <c r="U77" s="150">
        <v>200</v>
      </c>
      <c r="V77" s="150"/>
      <c r="W77" s="129"/>
    </row>
    <row r="78" spans="1:23" s="119" customFormat="1" ht="25.5" x14ac:dyDescent="0.2">
      <c r="A78" s="146"/>
      <c r="B78" s="147" t="s">
        <v>475</v>
      </c>
      <c r="C78" s="148"/>
      <c r="D78" s="150"/>
      <c r="E78" s="150"/>
      <c r="F78" s="150"/>
      <c r="G78" s="150"/>
      <c r="H78" s="129"/>
      <c r="I78" s="150"/>
      <c r="J78" s="150"/>
      <c r="K78" s="150">
        <v>200</v>
      </c>
      <c r="L78" s="150"/>
      <c r="M78" s="129"/>
      <c r="N78" s="150"/>
      <c r="O78" s="150"/>
      <c r="P78" s="150"/>
      <c r="Q78" s="150"/>
      <c r="R78" s="129"/>
      <c r="S78" s="150"/>
      <c r="T78" s="150"/>
      <c r="U78" s="150"/>
      <c r="V78" s="150"/>
      <c r="W78" s="129"/>
    </row>
    <row r="79" spans="1:23" s="119" customFormat="1" ht="12.75" x14ac:dyDescent="0.2">
      <c r="A79" s="146"/>
      <c r="B79" s="147" t="s">
        <v>476</v>
      </c>
      <c r="C79" s="148"/>
      <c r="D79" s="150"/>
      <c r="E79" s="150"/>
      <c r="F79" s="150"/>
      <c r="G79" s="298">
        <v>150</v>
      </c>
      <c r="H79" s="129">
        <f t="shared" si="1"/>
        <v>150</v>
      </c>
      <c r="I79" s="150"/>
      <c r="J79" s="150"/>
      <c r="K79" s="150"/>
      <c r="L79" s="150"/>
      <c r="M79" s="129"/>
      <c r="N79" s="150"/>
      <c r="O79" s="150"/>
      <c r="P79" s="150"/>
      <c r="Q79" s="150"/>
      <c r="R79" s="129"/>
      <c r="S79" s="150"/>
      <c r="T79" s="150"/>
      <c r="U79" s="150"/>
      <c r="V79" s="150"/>
      <c r="W79" s="129"/>
    </row>
    <row r="80" spans="1:23" s="119" customFormat="1" ht="12.75" x14ac:dyDescent="0.2">
      <c r="A80" s="146"/>
      <c r="B80" s="147" t="s">
        <v>477</v>
      </c>
      <c r="C80" s="148"/>
      <c r="D80" s="150"/>
      <c r="E80" s="150"/>
      <c r="F80" s="150"/>
      <c r="G80" s="150"/>
      <c r="H80" s="129"/>
      <c r="I80" s="150"/>
      <c r="J80" s="150"/>
      <c r="K80" s="150"/>
      <c r="L80" s="150"/>
      <c r="M80" s="129"/>
      <c r="N80" s="150"/>
      <c r="O80" s="150"/>
      <c r="P80" s="150"/>
      <c r="Q80" s="150"/>
      <c r="R80" s="129"/>
      <c r="S80" s="150">
        <v>150</v>
      </c>
      <c r="T80" s="150"/>
      <c r="U80" s="150"/>
      <c r="V80" s="150"/>
      <c r="W80" s="129"/>
    </row>
    <row r="81" spans="1:24" s="119" customFormat="1" ht="12.75" x14ac:dyDescent="0.2">
      <c r="A81" s="146"/>
      <c r="B81" s="147" t="s">
        <v>478</v>
      </c>
      <c r="C81" s="148"/>
      <c r="D81" s="150"/>
      <c r="E81" s="150"/>
      <c r="F81" s="150"/>
      <c r="G81" s="150"/>
      <c r="H81" s="129">
        <f t="shared" si="1"/>
        <v>0</v>
      </c>
      <c r="I81" s="150">
        <v>150</v>
      </c>
      <c r="J81" s="150"/>
      <c r="K81" s="150"/>
      <c r="L81" s="150"/>
      <c r="M81" s="129"/>
      <c r="N81" s="150"/>
      <c r="O81" s="150"/>
      <c r="P81" s="150"/>
      <c r="Q81" s="150"/>
      <c r="R81" s="129"/>
      <c r="S81" s="150"/>
      <c r="T81" s="150"/>
      <c r="U81" s="150"/>
      <c r="V81" s="150"/>
      <c r="W81" s="129"/>
    </row>
    <row r="82" spans="1:24" s="119" customFormat="1" ht="12.75" x14ac:dyDescent="0.2">
      <c r="A82" s="146"/>
      <c r="B82" s="147" t="s">
        <v>479</v>
      </c>
      <c r="C82" s="148"/>
      <c r="D82" s="150"/>
      <c r="E82" s="150"/>
      <c r="F82" s="150"/>
      <c r="G82" s="150"/>
      <c r="H82" s="129">
        <f t="shared" si="1"/>
        <v>0</v>
      </c>
      <c r="I82" s="150">
        <v>300</v>
      </c>
      <c r="J82" s="150"/>
      <c r="K82" s="150"/>
      <c r="L82" s="150"/>
      <c r="M82" s="129"/>
      <c r="N82" s="150"/>
      <c r="O82" s="150"/>
      <c r="P82" s="150"/>
      <c r="Q82" s="150"/>
      <c r="R82" s="129"/>
      <c r="S82" s="150"/>
      <c r="T82" s="150"/>
      <c r="U82" s="150"/>
      <c r="V82" s="150"/>
      <c r="W82" s="129"/>
    </row>
    <row r="83" spans="1:24" s="119" customFormat="1" ht="25.5" x14ac:dyDescent="0.2">
      <c r="A83" s="146"/>
      <c r="B83" s="147" t="s">
        <v>480</v>
      </c>
      <c r="C83" s="148"/>
      <c r="D83" s="150"/>
      <c r="E83" s="150"/>
      <c r="F83" s="150"/>
      <c r="G83" s="150"/>
      <c r="H83" s="129"/>
      <c r="I83" s="150"/>
      <c r="J83" s="150"/>
      <c r="K83" s="150"/>
      <c r="L83" s="150">
        <v>150</v>
      </c>
      <c r="M83" s="129"/>
      <c r="N83" s="150"/>
      <c r="O83" s="150"/>
      <c r="P83" s="150"/>
      <c r="Q83" s="150"/>
      <c r="R83" s="129"/>
      <c r="S83" s="150"/>
      <c r="T83" s="150"/>
      <c r="U83" s="150"/>
      <c r="V83" s="150"/>
      <c r="W83" s="129"/>
    </row>
    <row r="84" spans="1:24" s="119" customFormat="1" ht="38.25" x14ac:dyDescent="0.2">
      <c r="A84" s="146"/>
      <c r="B84" s="147" t="s">
        <v>481</v>
      </c>
      <c r="C84" s="148"/>
      <c r="D84" s="150"/>
      <c r="E84" s="150"/>
      <c r="F84" s="150"/>
      <c r="G84" s="150"/>
      <c r="H84" s="129"/>
      <c r="I84" s="150"/>
      <c r="J84" s="150"/>
      <c r="K84" s="150"/>
      <c r="L84" s="150"/>
      <c r="M84" s="129"/>
      <c r="N84" s="150"/>
      <c r="O84" s="150"/>
      <c r="P84" s="150"/>
      <c r="Q84" s="150">
        <v>300</v>
      </c>
      <c r="R84" s="129"/>
      <c r="S84" s="150"/>
      <c r="T84" s="150"/>
      <c r="U84" s="150"/>
      <c r="V84" s="150"/>
      <c r="W84" s="129"/>
    </row>
    <row r="85" spans="1:24" s="119" customFormat="1" ht="12.75" x14ac:dyDescent="0.2">
      <c r="A85" s="146"/>
      <c r="B85" s="147" t="s">
        <v>442</v>
      </c>
      <c r="C85" s="148">
        <v>611</v>
      </c>
      <c r="D85" s="150"/>
      <c r="E85" s="150"/>
      <c r="F85" s="150"/>
      <c r="G85" s="298">
        <v>300</v>
      </c>
      <c r="H85" s="129">
        <f t="shared" si="1"/>
        <v>300</v>
      </c>
      <c r="I85" s="150"/>
      <c r="J85" s="150"/>
      <c r="K85" s="150"/>
      <c r="L85" s="150"/>
      <c r="M85" s="129"/>
      <c r="N85" s="150"/>
      <c r="O85" s="150"/>
      <c r="P85" s="150"/>
      <c r="Q85" s="150"/>
      <c r="R85" s="129"/>
      <c r="S85" s="150"/>
      <c r="T85" s="150"/>
      <c r="U85" s="150"/>
      <c r="V85" s="150"/>
      <c r="W85" s="129"/>
    </row>
    <row r="86" spans="1:24" s="119" customFormat="1" ht="38.25" x14ac:dyDescent="0.2">
      <c r="A86" s="146" t="s">
        <v>482</v>
      </c>
      <c r="B86" s="147" t="s">
        <v>446</v>
      </c>
      <c r="C86" s="148"/>
      <c r="D86" s="150"/>
      <c r="E86" s="150"/>
      <c r="F86" s="298">
        <v>60</v>
      </c>
      <c r="G86" s="150"/>
      <c r="H86" s="129">
        <f t="shared" si="1"/>
        <v>60</v>
      </c>
      <c r="I86" s="150"/>
      <c r="J86" s="150"/>
      <c r="K86" s="150"/>
      <c r="L86" s="150"/>
      <c r="M86" s="129"/>
      <c r="N86" s="150"/>
      <c r="O86" s="150"/>
      <c r="P86" s="150"/>
      <c r="Q86" s="150"/>
      <c r="R86" s="129"/>
      <c r="S86" s="150"/>
      <c r="T86" s="150"/>
      <c r="U86" s="150"/>
      <c r="V86" s="150"/>
      <c r="W86" s="129"/>
    </row>
    <row r="87" spans="1:24" s="119" customFormat="1" ht="25.5" x14ac:dyDescent="0.2">
      <c r="A87" s="146"/>
      <c r="B87" s="147" t="s">
        <v>483</v>
      </c>
      <c r="C87" s="148"/>
      <c r="D87" s="150"/>
      <c r="E87" s="150"/>
      <c r="F87" s="150"/>
      <c r="G87" s="150"/>
      <c r="H87" s="129">
        <f t="shared" si="1"/>
        <v>0</v>
      </c>
      <c r="I87" s="150">
        <v>150</v>
      </c>
      <c r="J87" s="150"/>
      <c r="K87" s="150"/>
      <c r="L87" s="150"/>
      <c r="M87" s="129"/>
      <c r="N87" s="150"/>
      <c r="O87" s="150"/>
      <c r="P87" s="150"/>
      <c r="Q87" s="150"/>
      <c r="R87" s="129"/>
      <c r="S87" s="150"/>
      <c r="T87" s="150"/>
      <c r="U87" s="150"/>
      <c r="V87" s="150"/>
      <c r="W87" s="129"/>
    </row>
    <row r="88" spans="1:24" s="119" customFormat="1" ht="12.75" x14ac:dyDescent="0.2">
      <c r="A88" s="146"/>
      <c r="B88" s="147" t="s">
        <v>443</v>
      </c>
      <c r="C88" s="148"/>
      <c r="D88" s="150"/>
      <c r="E88" s="150"/>
      <c r="F88" s="150"/>
      <c r="G88" s="150"/>
      <c r="H88" s="129">
        <f t="shared" si="1"/>
        <v>0</v>
      </c>
      <c r="I88" s="150">
        <v>150</v>
      </c>
      <c r="J88" s="150"/>
      <c r="K88" s="150"/>
      <c r="L88" s="150"/>
      <c r="M88" s="129"/>
      <c r="N88" s="150"/>
      <c r="O88" s="150"/>
      <c r="P88" s="150"/>
      <c r="Q88" s="150"/>
      <c r="R88" s="129"/>
      <c r="S88" s="150"/>
      <c r="T88" s="150"/>
      <c r="U88" s="150"/>
      <c r="V88" s="150"/>
      <c r="W88" s="129"/>
    </row>
    <row r="89" spans="1:24" s="119" customFormat="1" ht="12.75" x14ac:dyDescent="0.2">
      <c r="A89" s="151"/>
      <c r="B89" s="147"/>
      <c r="C89" s="148"/>
      <c r="D89" s="150"/>
      <c r="E89" s="150"/>
      <c r="F89" s="150"/>
      <c r="G89" s="150"/>
      <c r="H89" s="129"/>
      <c r="I89" s="150"/>
      <c r="J89" s="150"/>
      <c r="K89" s="150"/>
      <c r="L89" s="150"/>
      <c r="M89" s="129"/>
      <c r="N89" s="150"/>
      <c r="O89" s="150"/>
      <c r="P89" s="150"/>
      <c r="Q89" s="150"/>
      <c r="R89" s="129"/>
      <c r="S89" s="130"/>
      <c r="T89" s="130"/>
      <c r="U89" s="130"/>
      <c r="V89" s="130"/>
      <c r="W89" s="131"/>
    </row>
    <row r="90" spans="1:24" s="145" customFormat="1" ht="56.25" customHeight="1" x14ac:dyDescent="0.2">
      <c r="A90" s="121" t="s">
        <v>484</v>
      </c>
      <c r="B90" s="122"/>
      <c r="C90" s="143">
        <f>SUM(C91:C225)</f>
        <v>873</v>
      </c>
      <c r="D90" s="143">
        <f>SUM(D91:D225)</f>
        <v>4420</v>
      </c>
      <c r="E90" s="143">
        <f>SUM(E91:E225)</f>
        <v>5768</v>
      </c>
      <c r="F90" s="143">
        <f>SUM(F91:F225)</f>
        <v>1526</v>
      </c>
      <c r="G90" s="143">
        <f>SUM(G91:G225)</f>
        <v>3475</v>
      </c>
      <c r="H90" s="122">
        <f>SUM(D90:G90)</f>
        <v>15189</v>
      </c>
      <c r="I90" s="143">
        <f>SUM(I91:I225)</f>
        <v>2760</v>
      </c>
      <c r="J90" s="143">
        <f>SUM(J91:J225)</f>
        <v>825</v>
      </c>
      <c r="K90" s="143">
        <f>SUM(K91:K225)</f>
        <v>820</v>
      </c>
      <c r="L90" s="143">
        <f>SUM(L91:L225)</f>
        <v>1630</v>
      </c>
      <c r="M90" s="122">
        <f>SUM(I90:L90)</f>
        <v>6035</v>
      </c>
      <c r="N90" s="143">
        <f>SUM(N91:N225)</f>
        <v>90</v>
      </c>
      <c r="O90" s="143">
        <f>SUM(O91:O225)</f>
        <v>300</v>
      </c>
      <c r="P90" s="143">
        <f>SUM(P91:P225)</f>
        <v>320</v>
      </c>
      <c r="Q90" s="143">
        <f>SUM(Q91:Q225)</f>
        <v>120</v>
      </c>
      <c r="R90" s="122">
        <f>SUM(N90:Q90)</f>
        <v>830</v>
      </c>
      <c r="S90" s="143">
        <f>SUM(S91:S225)</f>
        <v>306</v>
      </c>
      <c r="T90" s="143">
        <f>SUM(T91:T225)</f>
        <v>400</v>
      </c>
      <c r="U90" s="143">
        <f>SUM(U91:U225)</f>
        <v>545</v>
      </c>
      <c r="V90" s="143">
        <f>SUM(V91:V225)</f>
        <v>0</v>
      </c>
      <c r="W90" s="122">
        <f>SUM(S90:V90)</f>
        <v>1251</v>
      </c>
      <c r="X90" s="144">
        <v>42997</v>
      </c>
    </row>
    <row r="91" spans="1:24" s="119" customFormat="1" ht="51" x14ac:dyDescent="0.2">
      <c r="A91" s="146" t="s">
        <v>485</v>
      </c>
      <c r="B91" s="147"/>
      <c r="C91" s="148">
        <v>562</v>
      </c>
      <c r="D91" s="150">
        <v>3270</v>
      </c>
      <c r="E91" s="150">
        <v>945</v>
      </c>
      <c r="F91" s="298">
        <v>393</v>
      </c>
      <c r="G91" s="298">
        <v>1000</v>
      </c>
      <c r="H91" s="137">
        <f>SUM(D91:G91)</f>
        <v>5608</v>
      </c>
      <c r="I91" s="150">
        <v>2000</v>
      </c>
      <c r="J91" s="150"/>
      <c r="K91" s="150"/>
      <c r="L91" s="150"/>
      <c r="M91" s="137">
        <f>SUM(I91:L91)</f>
        <v>2000</v>
      </c>
      <c r="N91" s="150"/>
      <c r="O91" s="150"/>
      <c r="P91" s="150"/>
      <c r="Q91" s="150"/>
      <c r="R91" s="137">
        <f>SUM(N91:Q91)</f>
        <v>0</v>
      </c>
      <c r="S91" s="150"/>
      <c r="T91" s="150"/>
      <c r="U91" s="150"/>
      <c r="V91" s="150"/>
      <c r="W91" s="137">
        <f>SUM(S91:V91)</f>
        <v>0</v>
      </c>
    </row>
    <row r="92" spans="1:24" s="119" customFormat="1" ht="51" x14ac:dyDescent="0.2">
      <c r="A92" s="146" t="s">
        <v>486</v>
      </c>
      <c r="B92" s="147"/>
      <c r="C92" s="148"/>
      <c r="D92" s="150"/>
      <c r="E92" s="150"/>
      <c r="F92" s="150"/>
      <c r="G92" s="150"/>
      <c r="H92" s="137">
        <f t="shared" ref="H92:H155" si="2">SUM(D92:G92)</f>
        <v>0</v>
      </c>
      <c r="I92" s="150"/>
      <c r="J92" s="150"/>
      <c r="K92" s="150"/>
      <c r="L92" s="150"/>
      <c r="M92" s="137">
        <f t="shared" ref="M92:M155" si="3">SUM(I92:L92)</f>
        <v>0</v>
      </c>
      <c r="N92" s="150"/>
      <c r="O92" s="150"/>
      <c r="P92" s="150"/>
      <c r="Q92" s="150"/>
      <c r="R92" s="137">
        <f t="shared" ref="R92:R155" si="4">SUM(N92:Q92)</f>
        <v>0</v>
      </c>
      <c r="S92" s="150"/>
      <c r="T92" s="150"/>
      <c r="U92" s="150"/>
      <c r="V92" s="150"/>
      <c r="W92" s="137">
        <f t="shared" ref="W92:W155" si="5">SUM(S92:V92)</f>
        <v>0</v>
      </c>
    </row>
    <row r="93" spans="1:24" s="119" customFormat="1" ht="12.75" x14ac:dyDescent="0.2">
      <c r="A93" s="146"/>
      <c r="B93" s="147" t="s">
        <v>487</v>
      </c>
      <c r="C93" s="148"/>
      <c r="D93" s="150"/>
      <c r="E93" s="150"/>
      <c r="F93" s="150"/>
      <c r="G93" s="150"/>
      <c r="H93" s="137">
        <f t="shared" si="2"/>
        <v>0</v>
      </c>
      <c r="I93" s="150">
        <v>60</v>
      </c>
      <c r="J93" s="150"/>
      <c r="K93" s="150"/>
      <c r="L93" s="150"/>
      <c r="M93" s="137">
        <f t="shared" si="3"/>
        <v>60</v>
      </c>
      <c r="N93" s="150"/>
      <c r="O93" s="150"/>
      <c r="P93" s="150"/>
      <c r="Q93" s="150"/>
      <c r="R93" s="137">
        <f t="shared" si="4"/>
        <v>0</v>
      </c>
      <c r="S93" s="150"/>
      <c r="T93" s="150"/>
      <c r="U93" s="150"/>
      <c r="V93" s="150"/>
      <c r="W93" s="137">
        <f t="shared" si="5"/>
        <v>0</v>
      </c>
    </row>
    <row r="94" spans="1:24" s="119" customFormat="1" ht="12.75" x14ac:dyDescent="0.2">
      <c r="A94" s="146"/>
      <c r="B94" s="147" t="s">
        <v>342</v>
      </c>
      <c r="C94" s="148"/>
      <c r="D94" s="152"/>
      <c r="E94" s="152"/>
      <c r="F94" s="152"/>
      <c r="G94" s="150"/>
      <c r="H94" s="137">
        <f t="shared" si="2"/>
        <v>0</v>
      </c>
      <c r="I94" s="150">
        <v>150</v>
      </c>
      <c r="J94" s="150"/>
      <c r="K94" s="150"/>
      <c r="L94" s="150"/>
      <c r="M94" s="137">
        <f t="shared" si="3"/>
        <v>150</v>
      </c>
      <c r="N94" s="150"/>
      <c r="O94" s="150"/>
      <c r="P94" s="150"/>
      <c r="Q94" s="150"/>
      <c r="R94" s="137">
        <f t="shared" si="4"/>
        <v>0</v>
      </c>
      <c r="S94" s="150"/>
      <c r="T94" s="150"/>
      <c r="U94" s="150"/>
      <c r="V94" s="150"/>
      <c r="W94" s="137">
        <f t="shared" si="5"/>
        <v>0</v>
      </c>
    </row>
    <row r="95" spans="1:24" s="119" customFormat="1" ht="12.75" x14ac:dyDescent="0.2">
      <c r="A95" s="146"/>
      <c r="B95" s="147" t="s">
        <v>488</v>
      </c>
      <c r="C95" s="148"/>
      <c r="D95" s="152"/>
      <c r="E95" s="152"/>
      <c r="F95" s="152"/>
      <c r="G95" s="150"/>
      <c r="H95" s="137">
        <f t="shared" si="2"/>
        <v>0</v>
      </c>
      <c r="I95" s="150"/>
      <c r="J95" s="150"/>
      <c r="K95" s="150"/>
      <c r="L95" s="150"/>
      <c r="M95" s="137">
        <f t="shared" si="3"/>
        <v>0</v>
      </c>
      <c r="N95" s="150"/>
      <c r="O95" s="150"/>
      <c r="P95" s="150"/>
      <c r="Q95" s="150"/>
      <c r="R95" s="137">
        <f t="shared" si="4"/>
        <v>0</v>
      </c>
      <c r="S95" s="150"/>
      <c r="T95" s="150"/>
      <c r="U95" s="150"/>
      <c r="V95" s="150"/>
      <c r="W95" s="137">
        <f t="shared" si="5"/>
        <v>0</v>
      </c>
    </row>
    <row r="96" spans="1:24" s="119" customFormat="1" ht="12.75" x14ac:dyDescent="0.2">
      <c r="A96" s="146"/>
      <c r="B96" s="147" t="s">
        <v>489</v>
      </c>
      <c r="C96" s="148"/>
      <c r="D96" s="152"/>
      <c r="E96" s="152"/>
      <c r="F96" s="152"/>
      <c r="G96" s="150"/>
      <c r="H96" s="137">
        <f t="shared" si="2"/>
        <v>0</v>
      </c>
      <c r="I96" s="150"/>
      <c r="J96" s="150"/>
      <c r="K96" s="150"/>
      <c r="L96" s="150"/>
      <c r="M96" s="137">
        <f t="shared" si="3"/>
        <v>0</v>
      </c>
      <c r="N96" s="150"/>
      <c r="O96" s="150"/>
      <c r="P96" s="150"/>
      <c r="Q96" s="150"/>
      <c r="R96" s="137">
        <f t="shared" si="4"/>
        <v>0</v>
      </c>
      <c r="S96" s="150"/>
      <c r="T96" s="150"/>
      <c r="U96" s="150"/>
      <c r="V96" s="150"/>
      <c r="W96" s="137">
        <f t="shared" si="5"/>
        <v>0</v>
      </c>
    </row>
    <row r="97" spans="1:23" s="119" customFormat="1" ht="25.5" x14ac:dyDescent="0.2">
      <c r="A97" s="146"/>
      <c r="B97" s="147" t="s">
        <v>490</v>
      </c>
      <c r="C97" s="148"/>
      <c r="D97" s="152"/>
      <c r="E97" s="152"/>
      <c r="F97" s="298">
        <v>120</v>
      </c>
      <c r="G97" s="298"/>
      <c r="H97" s="137">
        <f t="shared" si="2"/>
        <v>120</v>
      </c>
      <c r="I97" s="150"/>
      <c r="J97" s="150"/>
      <c r="K97" s="150"/>
      <c r="L97" s="150"/>
      <c r="M97" s="137">
        <f t="shared" si="3"/>
        <v>0</v>
      </c>
      <c r="N97" s="150"/>
      <c r="O97" s="150"/>
      <c r="P97" s="150"/>
      <c r="Q97" s="150"/>
      <c r="R97" s="137">
        <f t="shared" si="4"/>
        <v>0</v>
      </c>
      <c r="S97" s="150"/>
      <c r="T97" s="150"/>
      <c r="U97" s="150"/>
      <c r="V97" s="150"/>
      <c r="W97" s="137">
        <f t="shared" si="5"/>
        <v>0</v>
      </c>
    </row>
    <row r="98" spans="1:23" s="119" customFormat="1" ht="12.75" x14ac:dyDescent="0.2">
      <c r="A98" s="146"/>
      <c r="B98" s="147" t="s">
        <v>491</v>
      </c>
      <c r="C98" s="148"/>
      <c r="D98" s="152"/>
      <c r="E98" s="152"/>
      <c r="F98" s="298"/>
      <c r="G98" s="298">
        <v>60</v>
      </c>
      <c r="H98" s="137">
        <f t="shared" si="2"/>
        <v>60</v>
      </c>
      <c r="I98" s="150"/>
      <c r="J98" s="150"/>
      <c r="K98" s="150">
        <v>75</v>
      </c>
      <c r="L98" s="150"/>
      <c r="M98" s="137">
        <f t="shared" si="3"/>
        <v>75</v>
      </c>
      <c r="N98" s="150"/>
      <c r="O98" s="150"/>
      <c r="P98" s="150"/>
      <c r="Q98" s="150"/>
      <c r="R98" s="137">
        <f t="shared" si="4"/>
        <v>0</v>
      </c>
      <c r="S98" s="150"/>
      <c r="T98" s="150"/>
      <c r="U98" s="150"/>
      <c r="V98" s="150"/>
      <c r="W98" s="137">
        <f t="shared" si="5"/>
        <v>0</v>
      </c>
    </row>
    <row r="99" spans="1:23" s="119" customFormat="1" ht="25.5" x14ac:dyDescent="0.2">
      <c r="A99" s="146"/>
      <c r="B99" s="147" t="s">
        <v>492</v>
      </c>
      <c r="C99" s="148"/>
      <c r="D99" s="152"/>
      <c r="E99" s="152"/>
      <c r="F99" s="298"/>
      <c r="G99" s="298">
        <v>20</v>
      </c>
      <c r="H99" s="137">
        <f t="shared" si="2"/>
        <v>20</v>
      </c>
      <c r="I99" s="150"/>
      <c r="J99" s="150"/>
      <c r="K99" s="150"/>
      <c r="L99" s="150"/>
      <c r="M99" s="137">
        <f t="shared" si="3"/>
        <v>0</v>
      </c>
      <c r="N99" s="150"/>
      <c r="O99" s="150"/>
      <c r="P99" s="150"/>
      <c r="Q99" s="150"/>
      <c r="R99" s="137">
        <f t="shared" si="4"/>
        <v>0</v>
      </c>
      <c r="S99" s="150"/>
      <c r="T99" s="150"/>
      <c r="U99" s="150"/>
      <c r="V99" s="150"/>
      <c r="W99" s="137">
        <f t="shared" si="5"/>
        <v>0</v>
      </c>
    </row>
    <row r="100" spans="1:23" s="119" customFormat="1" ht="25.5" x14ac:dyDescent="0.2">
      <c r="A100" s="146"/>
      <c r="B100" s="147" t="s">
        <v>493</v>
      </c>
      <c r="C100" s="148"/>
      <c r="D100" s="152"/>
      <c r="E100" s="152"/>
      <c r="F100" s="152"/>
      <c r="G100" s="150"/>
      <c r="H100" s="137">
        <f t="shared" si="2"/>
        <v>0</v>
      </c>
      <c r="I100" s="150"/>
      <c r="J100" s="150"/>
      <c r="K100" s="150"/>
      <c r="L100" s="150"/>
      <c r="M100" s="137">
        <f t="shared" si="3"/>
        <v>0</v>
      </c>
      <c r="N100" s="150"/>
      <c r="O100" s="150"/>
      <c r="P100" s="150"/>
      <c r="Q100" s="150"/>
      <c r="R100" s="137">
        <f t="shared" si="4"/>
        <v>0</v>
      </c>
      <c r="S100" s="150"/>
      <c r="T100" s="150"/>
      <c r="U100" s="150"/>
      <c r="V100" s="150"/>
      <c r="W100" s="137">
        <f t="shared" si="5"/>
        <v>0</v>
      </c>
    </row>
    <row r="101" spans="1:23" s="119" customFormat="1" ht="12.75" x14ac:dyDescent="0.2">
      <c r="A101" s="146"/>
      <c r="B101" s="147" t="s">
        <v>494</v>
      </c>
      <c r="C101" s="148"/>
      <c r="D101" s="152"/>
      <c r="E101" s="152"/>
      <c r="F101" s="298"/>
      <c r="G101" s="298">
        <v>35</v>
      </c>
      <c r="H101" s="137">
        <f t="shared" si="2"/>
        <v>35</v>
      </c>
      <c r="I101" s="150"/>
      <c r="J101" s="150"/>
      <c r="K101" s="150"/>
      <c r="L101" s="150">
        <v>35</v>
      </c>
      <c r="M101" s="137">
        <f t="shared" si="3"/>
        <v>35</v>
      </c>
      <c r="N101" s="150"/>
      <c r="O101" s="150"/>
      <c r="P101" s="150"/>
      <c r="Q101" s="150"/>
      <c r="R101" s="137">
        <f t="shared" si="4"/>
        <v>0</v>
      </c>
      <c r="S101" s="150"/>
      <c r="T101" s="150"/>
      <c r="U101" s="150"/>
      <c r="V101" s="150"/>
      <c r="W101" s="137">
        <f t="shared" si="5"/>
        <v>0</v>
      </c>
    </row>
    <row r="102" spans="1:23" s="119" customFormat="1" ht="12.75" x14ac:dyDescent="0.2">
      <c r="A102" s="146"/>
      <c r="B102" s="147" t="s">
        <v>495</v>
      </c>
      <c r="C102" s="148"/>
      <c r="D102" s="152"/>
      <c r="E102" s="152"/>
      <c r="F102" s="298"/>
      <c r="G102" s="298">
        <v>15</v>
      </c>
      <c r="H102" s="137">
        <f t="shared" si="2"/>
        <v>15</v>
      </c>
      <c r="I102" s="150"/>
      <c r="J102" s="150"/>
      <c r="K102" s="150"/>
      <c r="L102" s="150"/>
      <c r="M102" s="137">
        <f t="shared" si="3"/>
        <v>0</v>
      </c>
      <c r="N102" s="150"/>
      <c r="O102" s="150"/>
      <c r="P102" s="150"/>
      <c r="Q102" s="150"/>
      <c r="R102" s="137">
        <f t="shared" si="4"/>
        <v>0</v>
      </c>
      <c r="S102" s="150"/>
      <c r="T102" s="150"/>
      <c r="U102" s="150"/>
      <c r="V102" s="150"/>
      <c r="W102" s="137">
        <f t="shared" si="5"/>
        <v>0</v>
      </c>
    </row>
    <row r="103" spans="1:23" s="119" customFormat="1" ht="25.5" x14ac:dyDescent="0.2">
      <c r="A103" s="146"/>
      <c r="B103" s="147" t="s">
        <v>496</v>
      </c>
      <c r="C103" s="148"/>
      <c r="D103" s="152"/>
      <c r="E103" s="152"/>
      <c r="F103" s="298"/>
      <c r="G103" s="298">
        <v>35</v>
      </c>
      <c r="H103" s="137">
        <f t="shared" si="2"/>
        <v>35</v>
      </c>
      <c r="I103" s="150"/>
      <c r="J103" s="150"/>
      <c r="K103" s="150"/>
      <c r="L103" s="150"/>
      <c r="M103" s="137">
        <f t="shared" si="3"/>
        <v>0</v>
      </c>
      <c r="N103" s="150"/>
      <c r="O103" s="150"/>
      <c r="P103" s="150"/>
      <c r="Q103" s="150"/>
      <c r="R103" s="137">
        <f t="shared" si="4"/>
        <v>0</v>
      </c>
      <c r="S103" s="150"/>
      <c r="T103" s="150"/>
      <c r="U103" s="150"/>
      <c r="V103" s="150"/>
      <c r="W103" s="137">
        <f t="shared" si="5"/>
        <v>0</v>
      </c>
    </row>
    <row r="104" spans="1:23" s="119" customFormat="1" ht="12.75" x14ac:dyDescent="0.2">
      <c r="A104" s="146"/>
      <c r="B104" s="147" t="s">
        <v>497</v>
      </c>
      <c r="C104" s="148"/>
      <c r="D104" s="152"/>
      <c r="E104" s="152"/>
      <c r="F104" s="298"/>
      <c r="G104" s="298">
        <v>25</v>
      </c>
      <c r="H104" s="137">
        <f t="shared" si="2"/>
        <v>25</v>
      </c>
      <c r="I104" s="150"/>
      <c r="J104" s="150"/>
      <c r="K104" s="150"/>
      <c r="L104" s="150"/>
      <c r="M104" s="137">
        <f t="shared" si="3"/>
        <v>0</v>
      </c>
      <c r="N104" s="150"/>
      <c r="O104" s="150"/>
      <c r="P104" s="150"/>
      <c r="Q104" s="150"/>
      <c r="R104" s="137">
        <f t="shared" si="4"/>
        <v>0</v>
      </c>
      <c r="S104" s="150"/>
      <c r="T104" s="150"/>
      <c r="U104" s="150"/>
      <c r="V104" s="150"/>
      <c r="W104" s="137">
        <f t="shared" si="5"/>
        <v>0</v>
      </c>
    </row>
    <row r="105" spans="1:23" s="119" customFormat="1" ht="25.5" x14ac:dyDescent="0.2">
      <c r="A105" s="146"/>
      <c r="B105" s="147" t="s">
        <v>498</v>
      </c>
      <c r="C105" s="148"/>
      <c r="D105" s="152"/>
      <c r="E105" s="152"/>
      <c r="F105" s="298"/>
      <c r="G105" s="298">
        <v>60</v>
      </c>
      <c r="H105" s="137">
        <f t="shared" si="2"/>
        <v>60</v>
      </c>
      <c r="I105" s="150"/>
      <c r="J105" s="150"/>
      <c r="K105" s="150"/>
      <c r="L105" s="150"/>
      <c r="M105" s="137">
        <f t="shared" si="3"/>
        <v>0</v>
      </c>
      <c r="N105" s="150"/>
      <c r="O105" s="150"/>
      <c r="P105" s="150"/>
      <c r="Q105" s="150"/>
      <c r="R105" s="137">
        <f t="shared" si="4"/>
        <v>0</v>
      </c>
      <c r="S105" s="150"/>
      <c r="T105" s="150"/>
      <c r="U105" s="150"/>
      <c r="V105" s="150"/>
      <c r="W105" s="137">
        <f t="shared" si="5"/>
        <v>0</v>
      </c>
    </row>
    <row r="106" spans="1:23" s="119" customFormat="1" ht="12.75" x14ac:dyDescent="0.2">
      <c r="A106" s="146"/>
      <c r="B106" s="147" t="s">
        <v>499</v>
      </c>
      <c r="C106" s="148"/>
      <c r="D106" s="152"/>
      <c r="E106" s="152"/>
      <c r="F106" s="298"/>
      <c r="G106" s="298">
        <v>30</v>
      </c>
      <c r="H106" s="137">
        <f t="shared" si="2"/>
        <v>30</v>
      </c>
      <c r="I106" s="150"/>
      <c r="J106" s="150"/>
      <c r="K106" s="150"/>
      <c r="L106" s="150"/>
      <c r="M106" s="137">
        <f t="shared" si="3"/>
        <v>0</v>
      </c>
      <c r="N106" s="150"/>
      <c r="O106" s="150"/>
      <c r="P106" s="150"/>
      <c r="Q106" s="150"/>
      <c r="R106" s="137">
        <f t="shared" si="4"/>
        <v>0</v>
      </c>
      <c r="S106" s="150"/>
      <c r="T106" s="150"/>
      <c r="U106" s="150"/>
      <c r="V106" s="150"/>
      <c r="W106" s="137">
        <f t="shared" si="5"/>
        <v>0</v>
      </c>
    </row>
    <row r="107" spans="1:23" s="119" customFormat="1" ht="25.5" x14ac:dyDescent="0.2">
      <c r="A107" s="146"/>
      <c r="B107" s="147" t="s">
        <v>500</v>
      </c>
      <c r="C107" s="148"/>
      <c r="D107" s="152"/>
      <c r="E107" s="152"/>
      <c r="F107" s="298"/>
      <c r="G107" s="298">
        <v>30</v>
      </c>
      <c r="H107" s="137">
        <f t="shared" si="2"/>
        <v>30</v>
      </c>
      <c r="I107" s="150"/>
      <c r="J107" s="150"/>
      <c r="K107" s="150"/>
      <c r="L107" s="150"/>
      <c r="M107" s="137">
        <f t="shared" si="3"/>
        <v>0</v>
      </c>
      <c r="N107" s="150"/>
      <c r="O107" s="150"/>
      <c r="P107" s="150"/>
      <c r="Q107" s="150"/>
      <c r="R107" s="137">
        <f t="shared" si="4"/>
        <v>0</v>
      </c>
      <c r="S107" s="150"/>
      <c r="T107" s="150"/>
      <c r="U107" s="150"/>
      <c r="V107" s="150"/>
      <c r="W107" s="137">
        <f t="shared" si="5"/>
        <v>0</v>
      </c>
    </row>
    <row r="108" spans="1:23" s="119" customFormat="1" ht="25.5" x14ac:dyDescent="0.2">
      <c r="A108" s="146"/>
      <c r="B108" s="147" t="s">
        <v>501</v>
      </c>
      <c r="C108" s="148"/>
      <c r="D108" s="152"/>
      <c r="E108" s="152"/>
      <c r="F108" s="152"/>
      <c r="G108" s="150"/>
      <c r="H108" s="137">
        <f t="shared" si="2"/>
        <v>0</v>
      </c>
      <c r="I108" s="150"/>
      <c r="J108" s="150"/>
      <c r="K108" s="150"/>
      <c r="L108" s="150"/>
      <c r="M108" s="137">
        <f t="shared" si="3"/>
        <v>0</v>
      </c>
      <c r="N108" s="150"/>
      <c r="O108" s="150"/>
      <c r="P108" s="150"/>
      <c r="Q108" s="150"/>
      <c r="R108" s="137">
        <f t="shared" si="4"/>
        <v>0</v>
      </c>
      <c r="S108" s="150"/>
      <c r="T108" s="150"/>
      <c r="U108" s="150"/>
      <c r="V108" s="150"/>
      <c r="W108" s="137">
        <f t="shared" si="5"/>
        <v>0</v>
      </c>
    </row>
    <row r="109" spans="1:23" s="119" customFormat="1" ht="25.5" x14ac:dyDescent="0.2">
      <c r="A109" s="146"/>
      <c r="B109" s="147" t="s">
        <v>502</v>
      </c>
      <c r="C109" s="148"/>
      <c r="D109" s="152"/>
      <c r="E109" s="152"/>
      <c r="F109" s="152"/>
      <c r="G109" s="298">
        <v>30</v>
      </c>
      <c r="H109" s="137">
        <f t="shared" si="2"/>
        <v>30</v>
      </c>
      <c r="I109" s="150"/>
      <c r="J109" s="150"/>
      <c r="K109" s="150"/>
      <c r="L109" s="150"/>
      <c r="M109" s="137">
        <f t="shared" si="3"/>
        <v>0</v>
      </c>
      <c r="N109" s="150"/>
      <c r="O109" s="150"/>
      <c r="P109" s="150"/>
      <c r="Q109" s="150"/>
      <c r="R109" s="137">
        <f t="shared" si="4"/>
        <v>0</v>
      </c>
      <c r="S109" s="150"/>
      <c r="T109" s="150"/>
      <c r="U109" s="150"/>
      <c r="V109" s="150"/>
      <c r="W109" s="137">
        <f t="shared" si="5"/>
        <v>0</v>
      </c>
    </row>
    <row r="110" spans="1:23" s="119" customFormat="1" ht="38.25" x14ac:dyDescent="0.2">
      <c r="A110" s="146"/>
      <c r="B110" s="147" t="s">
        <v>503</v>
      </c>
      <c r="C110" s="148"/>
      <c r="D110" s="152"/>
      <c r="E110" s="152"/>
      <c r="F110" s="152"/>
      <c r="G110" s="150"/>
      <c r="H110" s="137">
        <f t="shared" si="2"/>
        <v>0</v>
      </c>
      <c r="I110" s="150"/>
      <c r="J110" s="150"/>
      <c r="K110" s="150"/>
      <c r="L110" s="150"/>
      <c r="M110" s="137">
        <f t="shared" si="3"/>
        <v>0</v>
      </c>
      <c r="N110" s="150"/>
      <c r="O110" s="150"/>
      <c r="P110" s="150"/>
      <c r="Q110" s="150"/>
      <c r="R110" s="137">
        <f t="shared" si="4"/>
        <v>0</v>
      </c>
      <c r="S110" s="150"/>
      <c r="T110" s="150"/>
      <c r="U110" s="150"/>
      <c r="V110" s="150"/>
      <c r="W110" s="137">
        <f t="shared" si="5"/>
        <v>0</v>
      </c>
    </row>
    <row r="111" spans="1:23" s="119" customFormat="1" ht="38.25" x14ac:dyDescent="0.2">
      <c r="A111" s="146"/>
      <c r="B111" s="147" t="s">
        <v>504</v>
      </c>
      <c r="C111" s="148"/>
      <c r="D111" s="152"/>
      <c r="E111" s="152"/>
      <c r="F111" s="152"/>
      <c r="G111" s="298">
        <v>50</v>
      </c>
      <c r="H111" s="137">
        <f t="shared" si="2"/>
        <v>50</v>
      </c>
      <c r="I111" s="150"/>
      <c r="J111" s="150"/>
      <c r="K111" s="150"/>
      <c r="L111" s="150"/>
      <c r="M111" s="137">
        <f t="shared" si="3"/>
        <v>0</v>
      </c>
      <c r="N111" s="150"/>
      <c r="O111" s="150"/>
      <c r="P111" s="150"/>
      <c r="Q111" s="150"/>
      <c r="R111" s="137">
        <f t="shared" si="4"/>
        <v>0</v>
      </c>
      <c r="S111" s="150"/>
      <c r="T111" s="150"/>
      <c r="U111" s="150"/>
      <c r="V111" s="150"/>
      <c r="W111" s="137">
        <f t="shared" si="5"/>
        <v>0</v>
      </c>
    </row>
    <row r="112" spans="1:23" s="119" customFormat="1" ht="12.75" x14ac:dyDescent="0.2">
      <c r="A112" s="146"/>
      <c r="B112" s="147" t="s">
        <v>505</v>
      </c>
      <c r="C112" s="148"/>
      <c r="D112" s="152"/>
      <c r="E112" s="152"/>
      <c r="F112" s="152"/>
      <c r="G112" s="298">
        <v>30</v>
      </c>
      <c r="H112" s="137">
        <f t="shared" si="2"/>
        <v>30</v>
      </c>
      <c r="I112" s="150"/>
      <c r="J112" s="150"/>
      <c r="K112" s="150"/>
      <c r="L112" s="150"/>
      <c r="M112" s="137">
        <f t="shared" si="3"/>
        <v>0</v>
      </c>
      <c r="N112" s="150"/>
      <c r="O112" s="150"/>
      <c r="P112" s="150"/>
      <c r="Q112" s="150"/>
      <c r="R112" s="137">
        <f t="shared" si="4"/>
        <v>0</v>
      </c>
      <c r="S112" s="150"/>
      <c r="T112" s="150"/>
      <c r="U112" s="150"/>
      <c r="V112" s="150"/>
      <c r="W112" s="137">
        <f t="shared" si="5"/>
        <v>0</v>
      </c>
    </row>
    <row r="113" spans="1:23" s="119" customFormat="1" ht="12.75" x14ac:dyDescent="0.2">
      <c r="A113" s="146"/>
      <c r="B113" s="147" t="s">
        <v>467</v>
      </c>
      <c r="C113" s="148"/>
      <c r="D113" s="152">
        <v>100</v>
      </c>
      <c r="E113" s="152"/>
      <c r="F113" s="152"/>
      <c r="G113" s="150"/>
      <c r="H113" s="137">
        <f t="shared" si="2"/>
        <v>100</v>
      </c>
      <c r="I113" s="150"/>
      <c r="J113" s="150"/>
      <c r="K113" s="150"/>
      <c r="L113" s="150"/>
      <c r="M113" s="137">
        <f t="shared" si="3"/>
        <v>0</v>
      </c>
      <c r="N113" s="150"/>
      <c r="O113" s="150">
        <v>120</v>
      </c>
      <c r="P113" s="150"/>
      <c r="Q113" s="150"/>
      <c r="R113" s="137">
        <f t="shared" si="4"/>
        <v>120</v>
      </c>
      <c r="S113" s="150"/>
      <c r="T113" s="150"/>
      <c r="U113" s="150"/>
      <c r="V113" s="150"/>
      <c r="W113" s="137">
        <f t="shared" si="5"/>
        <v>0</v>
      </c>
    </row>
    <row r="114" spans="1:23" s="119" customFormat="1" ht="12.75" x14ac:dyDescent="0.2">
      <c r="A114" s="146"/>
      <c r="B114" s="147" t="s">
        <v>506</v>
      </c>
      <c r="C114" s="148"/>
      <c r="D114" s="152"/>
      <c r="E114" s="152"/>
      <c r="F114" s="152"/>
      <c r="G114" s="150"/>
      <c r="H114" s="137">
        <f t="shared" si="2"/>
        <v>0</v>
      </c>
      <c r="I114" s="150"/>
      <c r="J114" s="150"/>
      <c r="K114" s="150"/>
      <c r="L114" s="150"/>
      <c r="M114" s="137">
        <f t="shared" si="3"/>
        <v>0</v>
      </c>
      <c r="N114" s="150"/>
      <c r="O114" s="150"/>
      <c r="P114" s="150"/>
      <c r="Q114" s="150"/>
      <c r="R114" s="137">
        <f t="shared" si="4"/>
        <v>0</v>
      </c>
      <c r="S114" s="150"/>
      <c r="T114" s="150">
        <v>120</v>
      </c>
      <c r="U114" s="150"/>
      <c r="V114" s="150"/>
      <c r="W114" s="137">
        <f t="shared" si="5"/>
        <v>120</v>
      </c>
    </row>
    <row r="115" spans="1:23" s="119" customFormat="1" ht="25.5" x14ac:dyDescent="0.2">
      <c r="A115" s="146"/>
      <c r="B115" s="147" t="s">
        <v>507</v>
      </c>
      <c r="C115" s="148"/>
      <c r="D115" s="152"/>
      <c r="E115" s="152"/>
      <c r="F115" s="152"/>
      <c r="G115" s="298">
        <v>30</v>
      </c>
      <c r="H115" s="137">
        <f t="shared" si="2"/>
        <v>30</v>
      </c>
      <c r="I115" s="150"/>
      <c r="J115" s="150"/>
      <c r="K115" s="150"/>
      <c r="L115" s="150"/>
      <c r="M115" s="137">
        <f t="shared" si="3"/>
        <v>0</v>
      </c>
      <c r="N115" s="150"/>
      <c r="O115" s="150"/>
      <c r="P115" s="150"/>
      <c r="Q115" s="150"/>
      <c r="R115" s="137">
        <f t="shared" si="4"/>
        <v>0</v>
      </c>
      <c r="S115" s="150"/>
      <c r="T115" s="150"/>
      <c r="U115" s="150"/>
      <c r="V115" s="150"/>
      <c r="W115" s="137">
        <f t="shared" si="5"/>
        <v>0</v>
      </c>
    </row>
    <row r="116" spans="1:23" s="119" customFormat="1" ht="25.5" x14ac:dyDescent="0.2">
      <c r="A116" s="146"/>
      <c r="B116" s="147" t="s">
        <v>508</v>
      </c>
      <c r="C116" s="148"/>
      <c r="D116" s="152"/>
      <c r="E116" s="152"/>
      <c r="F116" s="152"/>
      <c r="G116" s="298">
        <v>30</v>
      </c>
      <c r="H116" s="137">
        <f t="shared" si="2"/>
        <v>30</v>
      </c>
      <c r="I116" s="150"/>
      <c r="J116" s="150"/>
      <c r="K116" s="150"/>
      <c r="L116" s="150"/>
      <c r="M116" s="137">
        <f t="shared" si="3"/>
        <v>0</v>
      </c>
      <c r="N116" s="150"/>
      <c r="O116" s="150"/>
      <c r="P116" s="150"/>
      <c r="Q116" s="150"/>
      <c r="R116" s="137">
        <f t="shared" si="4"/>
        <v>0</v>
      </c>
      <c r="S116" s="150"/>
      <c r="T116" s="150"/>
      <c r="U116" s="150"/>
      <c r="V116" s="150"/>
      <c r="W116" s="137">
        <f t="shared" si="5"/>
        <v>0</v>
      </c>
    </row>
    <row r="117" spans="1:23" s="119" customFormat="1" ht="25.5" x14ac:dyDescent="0.2">
      <c r="A117" s="146"/>
      <c r="B117" s="147" t="s">
        <v>509</v>
      </c>
      <c r="C117" s="148"/>
      <c r="D117" s="152"/>
      <c r="E117" s="152"/>
      <c r="F117" s="152"/>
      <c r="G117" s="298">
        <v>30</v>
      </c>
      <c r="H117" s="137">
        <f t="shared" si="2"/>
        <v>30</v>
      </c>
      <c r="I117" s="150"/>
      <c r="J117" s="150"/>
      <c r="K117" s="150"/>
      <c r="L117" s="150"/>
      <c r="M117" s="137">
        <f t="shared" si="3"/>
        <v>0</v>
      </c>
      <c r="N117" s="150"/>
      <c r="O117" s="150"/>
      <c r="P117" s="150"/>
      <c r="Q117" s="150"/>
      <c r="R117" s="137">
        <f t="shared" si="4"/>
        <v>0</v>
      </c>
      <c r="S117" s="150"/>
      <c r="T117" s="150"/>
      <c r="U117" s="150"/>
      <c r="V117" s="150"/>
      <c r="W117" s="137">
        <f t="shared" si="5"/>
        <v>0</v>
      </c>
    </row>
    <row r="118" spans="1:23" s="119" customFormat="1" ht="25.5" x14ac:dyDescent="0.2">
      <c r="A118" s="146"/>
      <c r="B118" s="147" t="s">
        <v>510</v>
      </c>
      <c r="C118" s="148"/>
      <c r="D118" s="152"/>
      <c r="E118" s="152"/>
      <c r="F118" s="152"/>
      <c r="G118" s="150"/>
      <c r="H118" s="137">
        <f t="shared" si="2"/>
        <v>0</v>
      </c>
      <c r="I118" s="150"/>
      <c r="J118" s="150"/>
      <c r="K118" s="150"/>
      <c r="L118" s="150"/>
      <c r="M118" s="137">
        <f t="shared" si="3"/>
        <v>0</v>
      </c>
      <c r="N118" s="150"/>
      <c r="O118" s="150">
        <v>150</v>
      </c>
      <c r="P118" s="150"/>
      <c r="Q118" s="150"/>
      <c r="R118" s="137">
        <f t="shared" si="4"/>
        <v>150</v>
      </c>
      <c r="S118" s="150"/>
      <c r="T118" s="150"/>
      <c r="U118" s="150"/>
      <c r="V118" s="150"/>
      <c r="W118" s="137">
        <f t="shared" si="5"/>
        <v>0</v>
      </c>
    </row>
    <row r="119" spans="1:23" s="119" customFormat="1" ht="25.5" x14ac:dyDescent="0.2">
      <c r="A119" s="146"/>
      <c r="B119" s="147" t="s">
        <v>511</v>
      </c>
      <c r="C119" s="148"/>
      <c r="D119" s="152"/>
      <c r="E119" s="152"/>
      <c r="F119" s="152"/>
      <c r="G119" s="150"/>
      <c r="H119" s="137">
        <f t="shared" si="2"/>
        <v>0</v>
      </c>
      <c r="I119" s="150"/>
      <c r="J119" s="150">
        <v>50</v>
      </c>
      <c r="K119" s="150"/>
      <c r="L119" s="150"/>
      <c r="M119" s="137">
        <f t="shared" si="3"/>
        <v>50</v>
      </c>
      <c r="N119" s="150"/>
      <c r="O119" s="150"/>
      <c r="P119" s="150"/>
      <c r="Q119" s="150"/>
      <c r="R119" s="137">
        <f t="shared" si="4"/>
        <v>0</v>
      </c>
      <c r="S119" s="150"/>
      <c r="T119" s="150"/>
      <c r="U119" s="150"/>
      <c r="V119" s="150"/>
      <c r="W119" s="137">
        <f t="shared" si="5"/>
        <v>0</v>
      </c>
    </row>
    <row r="120" spans="1:23" s="119" customFormat="1" ht="25.5" x14ac:dyDescent="0.2">
      <c r="A120" s="146"/>
      <c r="B120" s="147" t="s">
        <v>512</v>
      </c>
      <c r="C120" s="148"/>
      <c r="D120" s="152"/>
      <c r="E120" s="152"/>
      <c r="F120" s="152"/>
      <c r="G120" s="150"/>
      <c r="H120" s="137">
        <f t="shared" si="2"/>
        <v>0</v>
      </c>
      <c r="I120" s="150"/>
      <c r="J120" s="150"/>
      <c r="K120" s="150"/>
      <c r="L120" s="150"/>
      <c r="M120" s="137">
        <f t="shared" si="3"/>
        <v>0</v>
      </c>
      <c r="N120" s="150"/>
      <c r="O120" s="150"/>
      <c r="P120" s="150"/>
      <c r="Q120" s="150"/>
      <c r="R120" s="137">
        <f t="shared" si="4"/>
        <v>0</v>
      </c>
      <c r="S120" s="150">
        <v>120</v>
      </c>
      <c r="T120" s="150"/>
      <c r="U120" s="150"/>
      <c r="V120" s="150"/>
      <c r="W120" s="137">
        <f t="shared" si="5"/>
        <v>120</v>
      </c>
    </row>
    <row r="121" spans="1:23" s="119" customFormat="1" ht="25.5" x14ac:dyDescent="0.2">
      <c r="A121" s="146"/>
      <c r="B121" s="147" t="s">
        <v>513</v>
      </c>
      <c r="C121" s="148"/>
      <c r="D121" s="152"/>
      <c r="E121" s="152"/>
      <c r="F121" s="152"/>
      <c r="G121" s="150"/>
      <c r="H121" s="137">
        <f t="shared" si="2"/>
        <v>0</v>
      </c>
      <c r="I121" s="150"/>
      <c r="J121" s="150"/>
      <c r="K121" s="150"/>
      <c r="L121" s="150"/>
      <c r="M121" s="137">
        <f t="shared" si="3"/>
        <v>0</v>
      </c>
      <c r="N121" s="150"/>
      <c r="O121" s="150"/>
      <c r="P121" s="150"/>
      <c r="Q121" s="150"/>
      <c r="R121" s="137">
        <f t="shared" si="4"/>
        <v>0</v>
      </c>
      <c r="S121" s="150"/>
      <c r="T121" s="150"/>
      <c r="U121" s="150"/>
      <c r="V121" s="150"/>
      <c r="W121" s="137">
        <f t="shared" si="5"/>
        <v>0</v>
      </c>
    </row>
    <row r="122" spans="1:23" s="119" customFormat="1" ht="25.5" x14ac:dyDescent="0.2">
      <c r="A122" s="146"/>
      <c r="B122" s="147" t="s">
        <v>514</v>
      </c>
      <c r="C122" s="148"/>
      <c r="D122" s="152"/>
      <c r="E122" s="152"/>
      <c r="F122" s="152"/>
      <c r="G122" s="150"/>
      <c r="H122" s="137">
        <f t="shared" si="2"/>
        <v>0</v>
      </c>
      <c r="I122" s="150"/>
      <c r="J122" s="150">
        <v>200</v>
      </c>
      <c r="K122" s="150"/>
      <c r="L122" s="150"/>
      <c r="M122" s="137">
        <f t="shared" si="3"/>
        <v>200</v>
      </c>
      <c r="N122" s="150"/>
      <c r="O122" s="150"/>
      <c r="P122" s="150"/>
      <c r="Q122" s="150"/>
      <c r="R122" s="137">
        <f t="shared" si="4"/>
        <v>0</v>
      </c>
      <c r="S122" s="150"/>
      <c r="T122" s="150"/>
      <c r="U122" s="150"/>
      <c r="V122" s="150"/>
      <c r="W122" s="137">
        <f t="shared" si="5"/>
        <v>0</v>
      </c>
    </row>
    <row r="123" spans="1:23" s="119" customFormat="1" ht="38.25" x14ac:dyDescent="0.2">
      <c r="A123" s="146"/>
      <c r="B123" s="147" t="s">
        <v>515</v>
      </c>
      <c r="C123" s="148"/>
      <c r="D123" s="152"/>
      <c r="E123" s="152"/>
      <c r="F123" s="152"/>
      <c r="G123" s="298">
        <v>30</v>
      </c>
      <c r="H123" s="137">
        <f t="shared" si="2"/>
        <v>30</v>
      </c>
      <c r="I123" s="150"/>
      <c r="J123" s="150"/>
      <c r="K123" s="150"/>
      <c r="L123" s="150"/>
      <c r="M123" s="137">
        <f t="shared" si="3"/>
        <v>0</v>
      </c>
      <c r="N123" s="150"/>
      <c r="O123" s="150"/>
      <c r="P123" s="150"/>
      <c r="Q123" s="150"/>
      <c r="R123" s="137">
        <f t="shared" si="4"/>
        <v>0</v>
      </c>
      <c r="S123" s="150"/>
      <c r="T123" s="150"/>
      <c r="U123" s="150"/>
      <c r="V123" s="150"/>
      <c r="W123" s="137">
        <f t="shared" si="5"/>
        <v>0</v>
      </c>
    </row>
    <row r="124" spans="1:23" s="119" customFormat="1" ht="12.75" x14ac:dyDescent="0.2">
      <c r="A124" s="146"/>
      <c r="B124" s="147" t="s">
        <v>516</v>
      </c>
      <c r="C124" s="148"/>
      <c r="D124" s="152"/>
      <c r="E124" s="152"/>
      <c r="F124" s="152"/>
      <c r="G124" s="298">
        <v>30</v>
      </c>
      <c r="H124" s="137">
        <f t="shared" si="2"/>
        <v>30</v>
      </c>
      <c r="I124" s="150"/>
      <c r="J124" s="150"/>
      <c r="K124" s="150"/>
      <c r="L124" s="150"/>
      <c r="M124" s="137">
        <f t="shared" si="3"/>
        <v>0</v>
      </c>
      <c r="N124" s="150"/>
      <c r="O124" s="150"/>
      <c r="P124" s="150"/>
      <c r="Q124" s="150"/>
      <c r="R124" s="137">
        <f t="shared" si="4"/>
        <v>0</v>
      </c>
      <c r="S124" s="150"/>
      <c r="T124" s="150"/>
      <c r="U124" s="150"/>
      <c r="V124" s="150"/>
      <c r="W124" s="137">
        <f t="shared" si="5"/>
        <v>0</v>
      </c>
    </row>
    <row r="125" spans="1:23" s="119" customFormat="1" ht="25.5" x14ac:dyDescent="0.2">
      <c r="A125" s="146"/>
      <c r="B125" s="147" t="s">
        <v>434</v>
      </c>
      <c r="C125" s="148"/>
      <c r="D125" s="152"/>
      <c r="E125" s="152"/>
      <c r="F125" s="152"/>
      <c r="G125" s="150"/>
      <c r="H125" s="137">
        <f t="shared" si="2"/>
        <v>0</v>
      </c>
      <c r="I125" s="150"/>
      <c r="J125" s="150"/>
      <c r="K125" s="150"/>
      <c r="L125" s="150"/>
      <c r="M125" s="137">
        <f t="shared" si="3"/>
        <v>0</v>
      </c>
      <c r="N125" s="150"/>
      <c r="O125" s="150"/>
      <c r="P125" s="150"/>
      <c r="Q125" s="150"/>
      <c r="R125" s="137">
        <f t="shared" si="4"/>
        <v>0</v>
      </c>
      <c r="S125" s="150">
        <v>60</v>
      </c>
      <c r="T125" s="150"/>
      <c r="U125" s="150"/>
      <c r="V125" s="150"/>
      <c r="W125" s="137">
        <f t="shared" si="5"/>
        <v>60</v>
      </c>
    </row>
    <row r="126" spans="1:23" s="119" customFormat="1" ht="12.75" x14ac:dyDescent="0.2">
      <c r="A126" s="146"/>
      <c r="B126" s="147" t="s">
        <v>517</v>
      </c>
      <c r="C126" s="148"/>
      <c r="D126" s="152">
        <v>128</v>
      </c>
      <c r="E126" s="152"/>
      <c r="F126" s="152"/>
      <c r="G126" s="150"/>
      <c r="H126" s="137">
        <f t="shared" si="2"/>
        <v>128</v>
      </c>
      <c r="I126" s="150"/>
      <c r="J126" s="150"/>
      <c r="K126" s="150"/>
      <c r="L126" s="150"/>
      <c r="M126" s="137">
        <f t="shared" si="3"/>
        <v>0</v>
      </c>
      <c r="N126" s="150"/>
      <c r="O126" s="150"/>
      <c r="P126" s="150"/>
      <c r="Q126" s="150"/>
      <c r="R126" s="137">
        <f t="shared" si="4"/>
        <v>0</v>
      </c>
      <c r="S126" s="150"/>
      <c r="T126" s="150"/>
      <c r="U126" s="150"/>
      <c r="V126" s="150"/>
      <c r="W126" s="137">
        <f t="shared" si="5"/>
        <v>0</v>
      </c>
    </row>
    <row r="127" spans="1:23" s="119" customFormat="1" ht="51" x14ac:dyDescent="0.2">
      <c r="A127" s="146"/>
      <c r="B127" s="147" t="s">
        <v>518</v>
      </c>
      <c r="C127" s="148"/>
      <c r="D127" s="152">
        <v>150</v>
      </c>
      <c r="E127" s="152"/>
      <c r="F127" s="152"/>
      <c r="G127" s="150"/>
      <c r="H127" s="137">
        <f t="shared" si="2"/>
        <v>150</v>
      </c>
      <c r="I127" s="150"/>
      <c r="J127" s="150"/>
      <c r="K127" s="150"/>
      <c r="L127" s="150"/>
      <c r="M127" s="137">
        <f t="shared" si="3"/>
        <v>0</v>
      </c>
      <c r="N127" s="150"/>
      <c r="O127" s="150"/>
      <c r="P127" s="150"/>
      <c r="Q127" s="150"/>
      <c r="R127" s="137">
        <f t="shared" si="4"/>
        <v>0</v>
      </c>
      <c r="S127" s="150"/>
      <c r="T127" s="150"/>
      <c r="U127" s="150"/>
      <c r="V127" s="150"/>
      <c r="W127" s="137">
        <f t="shared" si="5"/>
        <v>0</v>
      </c>
    </row>
    <row r="128" spans="1:23" s="119" customFormat="1" ht="25.5" x14ac:dyDescent="0.2">
      <c r="A128" s="146"/>
      <c r="B128" s="147" t="s">
        <v>519</v>
      </c>
      <c r="C128" s="148"/>
      <c r="D128" s="152"/>
      <c r="E128" s="152"/>
      <c r="F128" s="152"/>
      <c r="G128" s="150"/>
      <c r="H128" s="137">
        <f t="shared" si="2"/>
        <v>0</v>
      </c>
      <c r="I128" s="150"/>
      <c r="J128" s="150"/>
      <c r="K128" s="150"/>
      <c r="L128" s="150"/>
      <c r="M128" s="137">
        <f t="shared" si="3"/>
        <v>0</v>
      </c>
      <c r="N128" s="150"/>
      <c r="O128" s="150"/>
      <c r="P128" s="150"/>
      <c r="Q128" s="150"/>
      <c r="R128" s="137">
        <f t="shared" si="4"/>
        <v>0</v>
      </c>
      <c r="S128" s="150"/>
      <c r="T128" s="150"/>
      <c r="U128" s="150"/>
      <c r="V128" s="150"/>
      <c r="W128" s="137">
        <f t="shared" si="5"/>
        <v>0</v>
      </c>
    </row>
    <row r="129" spans="1:23" s="119" customFormat="1" ht="51" x14ac:dyDescent="0.2">
      <c r="A129" s="146"/>
      <c r="B129" s="147" t="s">
        <v>520</v>
      </c>
      <c r="C129" s="148"/>
      <c r="D129" s="152"/>
      <c r="E129" s="152"/>
      <c r="F129" s="152"/>
      <c r="G129" s="150"/>
      <c r="H129" s="137">
        <f t="shared" si="2"/>
        <v>0</v>
      </c>
      <c r="I129" s="150"/>
      <c r="J129" s="150"/>
      <c r="K129" s="150"/>
      <c r="L129" s="150"/>
      <c r="M129" s="137">
        <f t="shared" si="3"/>
        <v>0</v>
      </c>
      <c r="N129" s="150"/>
      <c r="O129" s="150"/>
      <c r="P129" s="150"/>
      <c r="Q129" s="150"/>
      <c r="R129" s="137">
        <f t="shared" si="4"/>
        <v>0</v>
      </c>
      <c r="S129" s="150"/>
      <c r="T129" s="150"/>
      <c r="U129" s="150"/>
      <c r="V129" s="150"/>
      <c r="W129" s="137">
        <f t="shared" si="5"/>
        <v>0</v>
      </c>
    </row>
    <row r="130" spans="1:23" s="119" customFormat="1" ht="38.25" x14ac:dyDescent="0.2">
      <c r="A130" s="146"/>
      <c r="B130" s="147" t="s">
        <v>521</v>
      </c>
      <c r="C130" s="148"/>
      <c r="D130" s="152"/>
      <c r="E130" s="152"/>
      <c r="F130" s="152"/>
      <c r="G130" s="150"/>
      <c r="H130" s="137">
        <f t="shared" si="2"/>
        <v>0</v>
      </c>
      <c r="I130" s="150"/>
      <c r="J130" s="150"/>
      <c r="K130" s="150"/>
      <c r="L130" s="150"/>
      <c r="M130" s="137">
        <f t="shared" si="3"/>
        <v>0</v>
      </c>
      <c r="N130" s="150"/>
      <c r="O130" s="150"/>
      <c r="P130" s="150"/>
      <c r="Q130" s="150"/>
      <c r="R130" s="137">
        <f t="shared" si="4"/>
        <v>0</v>
      </c>
      <c r="S130" s="150"/>
      <c r="T130" s="150"/>
      <c r="U130" s="150"/>
      <c r="V130" s="150"/>
      <c r="W130" s="137">
        <f t="shared" si="5"/>
        <v>0</v>
      </c>
    </row>
    <row r="131" spans="1:23" s="119" customFormat="1" ht="38.25" x14ac:dyDescent="0.2">
      <c r="A131" s="146"/>
      <c r="B131" s="147" t="s">
        <v>522</v>
      </c>
      <c r="C131" s="148"/>
      <c r="D131" s="152"/>
      <c r="E131" s="152"/>
      <c r="F131" s="152"/>
      <c r="G131" s="150"/>
      <c r="H131" s="137">
        <f t="shared" si="2"/>
        <v>0</v>
      </c>
      <c r="I131" s="150"/>
      <c r="J131" s="150"/>
      <c r="K131" s="150"/>
      <c r="L131" s="150"/>
      <c r="M131" s="137">
        <f t="shared" si="3"/>
        <v>0</v>
      </c>
      <c r="N131" s="150"/>
      <c r="O131" s="150"/>
      <c r="P131" s="150"/>
      <c r="Q131" s="150"/>
      <c r="R131" s="137">
        <f t="shared" si="4"/>
        <v>0</v>
      </c>
      <c r="S131" s="150"/>
      <c r="T131" s="150"/>
      <c r="U131" s="150"/>
      <c r="V131" s="150"/>
      <c r="W131" s="137">
        <f t="shared" si="5"/>
        <v>0</v>
      </c>
    </row>
    <row r="132" spans="1:23" s="119" customFormat="1" ht="38.25" x14ac:dyDescent="0.2">
      <c r="A132" s="146"/>
      <c r="B132" s="147" t="s">
        <v>523</v>
      </c>
      <c r="C132" s="148"/>
      <c r="D132" s="152"/>
      <c r="E132" s="152"/>
      <c r="F132" s="152"/>
      <c r="G132" s="150">
        <v>50</v>
      </c>
      <c r="H132" s="137">
        <f t="shared" si="2"/>
        <v>50</v>
      </c>
      <c r="I132" s="150"/>
      <c r="J132" s="150"/>
      <c r="K132" s="150"/>
      <c r="L132" s="150"/>
      <c r="M132" s="137">
        <f t="shared" si="3"/>
        <v>0</v>
      </c>
      <c r="N132" s="150"/>
      <c r="O132" s="150"/>
      <c r="P132" s="150"/>
      <c r="Q132" s="150"/>
      <c r="R132" s="137">
        <f t="shared" si="4"/>
        <v>0</v>
      </c>
      <c r="S132" s="150"/>
      <c r="T132" s="150"/>
      <c r="U132" s="150"/>
      <c r="V132" s="150"/>
      <c r="W132" s="137">
        <f t="shared" si="5"/>
        <v>0</v>
      </c>
    </row>
    <row r="133" spans="1:23" s="119" customFormat="1" ht="25.5" x14ac:dyDescent="0.2">
      <c r="A133" s="146"/>
      <c r="B133" s="147" t="s">
        <v>524</v>
      </c>
      <c r="C133" s="148"/>
      <c r="D133" s="152"/>
      <c r="E133" s="152"/>
      <c r="F133" s="152"/>
      <c r="G133" s="150"/>
      <c r="H133" s="137">
        <f t="shared" si="2"/>
        <v>0</v>
      </c>
      <c r="I133" s="150"/>
      <c r="J133" s="150"/>
      <c r="K133" s="150"/>
      <c r="L133" s="150"/>
      <c r="M133" s="137">
        <f t="shared" si="3"/>
        <v>0</v>
      </c>
      <c r="N133" s="150"/>
      <c r="O133" s="150"/>
      <c r="P133" s="150"/>
      <c r="Q133" s="150">
        <v>30</v>
      </c>
      <c r="R133" s="137">
        <f t="shared" si="4"/>
        <v>30</v>
      </c>
      <c r="S133" s="150"/>
      <c r="T133" s="150"/>
      <c r="U133" s="150"/>
      <c r="V133" s="150"/>
      <c r="W133" s="137">
        <f t="shared" si="5"/>
        <v>0</v>
      </c>
    </row>
    <row r="134" spans="1:23" s="119" customFormat="1" ht="25.5" x14ac:dyDescent="0.2">
      <c r="A134" s="146"/>
      <c r="B134" s="147" t="s">
        <v>525</v>
      </c>
      <c r="C134" s="148"/>
      <c r="D134" s="152"/>
      <c r="E134" s="152"/>
      <c r="F134" s="152"/>
      <c r="G134" s="150">
        <v>50</v>
      </c>
      <c r="H134" s="137">
        <f t="shared" si="2"/>
        <v>50</v>
      </c>
      <c r="I134" s="150"/>
      <c r="J134" s="150"/>
      <c r="K134" s="150"/>
      <c r="L134" s="150"/>
      <c r="M134" s="137">
        <f t="shared" si="3"/>
        <v>0</v>
      </c>
      <c r="N134" s="150"/>
      <c r="O134" s="150"/>
      <c r="P134" s="150"/>
      <c r="Q134" s="150"/>
      <c r="R134" s="137">
        <f t="shared" si="4"/>
        <v>0</v>
      </c>
      <c r="S134" s="150"/>
      <c r="T134" s="150"/>
      <c r="U134" s="150"/>
      <c r="V134" s="150"/>
      <c r="W134" s="137">
        <f t="shared" si="5"/>
        <v>0</v>
      </c>
    </row>
    <row r="135" spans="1:23" s="119" customFormat="1" ht="25.5" x14ac:dyDescent="0.2">
      <c r="A135" s="146"/>
      <c r="B135" s="147" t="s">
        <v>526</v>
      </c>
      <c r="C135" s="148">
        <v>70</v>
      </c>
      <c r="D135" s="152"/>
      <c r="E135" s="152"/>
      <c r="F135" s="152"/>
      <c r="G135" s="150"/>
      <c r="H135" s="137">
        <f t="shared" si="2"/>
        <v>0</v>
      </c>
      <c r="I135" s="150"/>
      <c r="J135" s="150"/>
      <c r="K135" s="150"/>
      <c r="L135" s="150"/>
      <c r="M135" s="137">
        <f t="shared" si="3"/>
        <v>0</v>
      </c>
      <c r="N135" s="150"/>
      <c r="O135" s="150"/>
      <c r="P135" s="150"/>
      <c r="Q135" s="150"/>
      <c r="R135" s="137">
        <f t="shared" si="4"/>
        <v>0</v>
      </c>
      <c r="S135" s="150"/>
      <c r="T135" s="150"/>
      <c r="U135" s="150">
        <v>120</v>
      </c>
      <c r="V135" s="150"/>
      <c r="W135" s="137">
        <f t="shared" si="5"/>
        <v>120</v>
      </c>
    </row>
    <row r="136" spans="1:23" s="119" customFormat="1" ht="25.5" x14ac:dyDescent="0.2">
      <c r="A136" s="146"/>
      <c r="B136" s="147" t="s">
        <v>527</v>
      </c>
      <c r="C136" s="148"/>
      <c r="D136" s="152"/>
      <c r="E136" s="152"/>
      <c r="F136" s="152"/>
      <c r="G136" s="150">
        <v>30</v>
      </c>
      <c r="H136" s="137">
        <f t="shared" si="2"/>
        <v>30</v>
      </c>
      <c r="I136" s="150"/>
      <c r="J136" s="150"/>
      <c r="K136" s="150"/>
      <c r="L136" s="150"/>
      <c r="M136" s="137">
        <f t="shared" si="3"/>
        <v>0</v>
      </c>
      <c r="N136" s="150"/>
      <c r="O136" s="150"/>
      <c r="P136" s="150"/>
      <c r="Q136" s="150"/>
      <c r="R136" s="137">
        <f t="shared" si="4"/>
        <v>0</v>
      </c>
      <c r="S136" s="150"/>
      <c r="T136" s="150"/>
      <c r="U136" s="150"/>
      <c r="V136" s="150"/>
      <c r="W136" s="137">
        <f t="shared" si="5"/>
        <v>0</v>
      </c>
    </row>
    <row r="137" spans="1:23" s="119" customFormat="1" ht="25.5" x14ac:dyDescent="0.2">
      <c r="A137" s="146"/>
      <c r="B137" s="147" t="s">
        <v>528</v>
      </c>
      <c r="C137" s="148"/>
      <c r="D137" s="152"/>
      <c r="E137" s="152"/>
      <c r="F137" s="152"/>
      <c r="G137" s="150">
        <v>30</v>
      </c>
      <c r="H137" s="137">
        <f t="shared" si="2"/>
        <v>30</v>
      </c>
      <c r="I137" s="150"/>
      <c r="J137" s="150"/>
      <c r="K137" s="150"/>
      <c r="L137" s="150"/>
      <c r="M137" s="137">
        <f t="shared" si="3"/>
        <v>0</v>
      </c>
      <c r="N137" s="150"/>
      <c r="O137" s="150"/>
      <c r="P137" s="150"/>
      <c r="Q137" s="150"/>
      <c r="R137" s="137">
        <f t="shared" si="4"/>
        <v>0</v>
      </c>
      <c r="S137" s="150"/>
      <c r="T137" s="150"/>
      <c r="U137" s="150"/>
      <c r="V137" s="150"/>
      <c r="W137" s="137">
        <f t="shared" si="5"/>
        <v>0</v>
      </c>
    </row>
    <row r="138" spans="1:23" s="119" customFormat="1" ht="25.5" x14ac:dyDescent="0.2">
      <c r="A138" s="146"/>
      <c r="B138" s="147" t="s">
        <v>529</v>
      </c>
      <c r="C138" s="148"/>
      <c r="D138" s="152"/>
      <c r="E138" s="152"/>
      <c r="F138" s="152"/>
      <c r="G138" s="150"/>
      <c r="H138" s="137">
        <f t="shared" si="2"/>
        <v>0</v>
      </c>
      <c r="I138" s="150"/>
      <c r="J138" s="150">
        <v>200</v>
      </c>
      <c r="K138" s="150"/>
      <c r="L138" s="150"/>
      <c r="M138" s="137">
        <f t="shared" si="3"/>
        <v>200</v>
      </c>
      <c r="N138" s="150"/>
      <c r="O138" s="150"/>
      <c r="P138" s="150">
        <v>100</v>
      </c>
      <c r="Q138" s="150"/>
      <c r="R138" s="137">
        <f t="shared" si="4"/>
        <v>100</v>
      </c>
      <c r="S138" s="150"/>
      <c r="T138" s="150"/>
      <c r="U138" s="150"/>
      <c r="V138" s="150"/>
      <c r="W138" s="137">
        <f t="shared" si="5"/>
        <v>0</v>
      </c>
    </row>
    <row r="139" spans="1:23" s="119" customFormat="1" ht="25.5" x14ac:dyDescent="0.2">
      <c r="A139" s="146"/>
      <c r="B139" s="147" t="s">
        <v>530</v>
      </c>
      <c r="C139" s="148"/>
      <c r="D139" s="152"/>
      <c r="E139" s="152"/>
      <c r="F139" s="152"/>
      <c r="G139" s="150">
        <v>30</v>
      </c>
      <c r="H139" s="137">
        <f t="shared" si="2"/>
        <v>30</v>
      </c>
      <c r="I139" s="150"/>
      <c r="J139" s="150"/>
      <c r="K139" s="150"/>
      <c r="L139" s="150"/>
      <c r="M139" s="137">
        <f t="shared" si="3"/>
        <v>0</v>
      </c>
      <c r="N139" s="150"/>
      <c r="O139" s="150"/>
      <c r="P139" s="150"/>
      <c r="Q139" s="150"/>
      <c r="R139" s="137">
        <f t="shared" si="4"/>
        <v>0</v>
      </c>
      <c r="S139" s="150"/>
      <c r="T139" s="150"/>
      <c r="U139" s="150"/>
      <c r="V139" s="150"/>
      <c r="W139" s="137">
        <f t="shared" si="5"/>
        <v>0</v>
      </c>
    </row>
    <row r="140" spans="1:23" s="119" customFormat="1" ht="12.75" x14ac:dyDescent="0.2">
      <c r="A140" s="146"/>
      <c r="B140" s="147" t="s">
        <v>531</v>
      </c>
      <c r="C140" s="148"/>
      <c r="D140" s="152"/>
      <c r="E140" s="152"/>
      <c r="F140" s="152"/>
      <c r="G140" s="150"/>
      <c r="H140" s="137">
        <f t="shared" si="2"/>
        <v>0</v>
      </c>
      <c r="I140" s="150"/>
      <c r="J140" s="150"/>
      <c r="K140" s="150"/>
      <c r="L140" s="150"/>
      <c r="M140" s="137">
        <f t="shared" si="3"/>
        <v>0</v>
      </c>
      <c r="N140" s="150"/>
      <c r="O140" s="150">
        <v>30</v>
      </c>
      <c r="P140" s="150"/>
      <c r="Q140" s="150"/>
      <c r="R140" s="137">
        <f t="shared" si="4"/>
        <v>30</v>
      </c>
      <c r="S140" s="150"/>
      <c r="T140" s="150"/>
      <c r="U140" s="150"/>
      <c r="V140" s="150"/>
      <c r="W140" s="137">
        <f t="shared" si="5"/>
        <v>0</v>
      </c>
    </row>
    <row r="141" spans="1:23" s="119" customFormat="1" ht="12.75" x14ac:dyDescent="0.2">
      <c r="A141" s="146"/>
      <c r="B141" s="147" t="s">
        <v>532</v>
      </c>
      <c r="C141" s="148"/>
      <c r="D141" s="152"/>
      <c r="E141" s="152"/>
      <c r="F141" s="152"/>
      <c r="G141" s="150">
        <v>45</v>
      </c>
      <c r="H141" s="137">
        <f t="shared" si="2"/>
        <v>45</v>
      </c>
      <c r="I141" s="150"/>
      <c r="J141" s="150"/>
      <c r="K141" s="150"/>
      <c r="L141" s="150"/>
      <c r="M141" s="137">
        <f t="shared" si="3"/>
        <v>0</v>
      </c>
      <c r="N141" s="150"/>
      <c r="O141" s="150"/>
      <c r="P141" s="150"/>
      <c r="Q141" s="150"/>
      <c r="R141" s="137">
        <f t="shared" si="4"/>
        <v>0</v>
      </c>
      <c r="S141" s="150"/>
      <c r="T141" s="150"/>
      <c r="U141" s="150"/>
      <c r="V141" s="150"/>
      <c r="W141" s="137">
        <f t="shared" si="5"/>
        <v>0</v>
      </c>
    </row>
    <row r="142" spans="1:23" s="119" customFormat="1" ht="25.5" x14ac:dyDescent="0.2">
      <c r="A142" s="146"/>
      <c r="B142" s="147" t="s">
        <v>533</v>
      </c>
      <c r="C142" s="148"/>
      <c r="D142" s="152"/>
      <c r="E142" s="152"/>
      <c r="F142" s="152"/>
      <c r="G142" s="150"/>
      <c r="H142" s="137">
        <f t="shared" si="2"/>
        <v>0</v>
      </c>
      <c r="I142" s="150"/>
      <c r="J142" s="150"/>
      <c r="K142" s="150"/>
      <c r="L142" s="150">
        <v>300</v>
      </c>
      <c r="M142" s="137">
        <f t="shared" si="3"/>
        <v>300</v>
      </c>
      <c r="N142" s="150"/>
      <c r="O142" s="150"/>
      <c r="P142" s="150"/>
      <c r="Q142" s="150"/>
      <c r="R142" s="137">
        <f t="shared" si="4"/>
        <v>0</v>
      </c>
      <c r="S142" s="150"/>
      <c r="T142" s="150"/>
      <c r="U142" s="150"/>
      <c r="V142" s="150"/>
      <c r="W142" s="137">
        <f t="shared" si="5"/>
        <v>0</v>
      </c>
    </row>
    <row r="143" spans="1:23" s="119" customFormat="1" ht="38.25" x14ac:dyDescent="0.2">
      <c r="A143" s="146"/>
      <c r="B143" s="147" t="s">
        <v>534</v>
      </c>
      <c r="C143" s="148"/>
      <c r="D143" s="152"/>
      <c r="E143" s="152"/>
      <c r="F143" s="152"/>
      <c r="G143" s="150">
        <v>45</v>
      </c>
      <c r="H143" s="137">
        <f t="shared" si="2"/>
        <v>45</v>
      </c>
      <c r="I143" s="150"/>
      <c r="J143" s="150"/>
      <c r="K143" s="150"/>
      <c r="L143" s="150"/>
      <c r="M143" s="137">
        <f t="shared" si="3"/>
        <v>0</v>
      </c>
      <c r="N143" s="150"/>
      <c r="O143" s="150"/>
      <c r="P143" s="150"/>
      <c r="Q143" s="150">
        <v>30</v>
      </c>
      <c r="R143" s="137">
        <f t="shared" si="4"/>
        <v>30</v>
      </c>
      <c r="S143" s="150"/>
      <c r="T143" s="150"/>
      <c r="U143" s="150"/>
      <c r="V143" s="150"/>
      <c r="W143" s="137">
        <f t="shared" si="5"/>
        <v>0</v>
      </c>
    </row>
    <row r="144" spans="1:23" s="119" customFormat="1" ht="25.5" x14ac:dyDescent="0.2">
      <c r="A144" s="146"/>
      <c r="B144" s="147" t="s">
        <v>535</v>
      </c>
      <c r="C144" s="148"/>
      <c r="D144" s="152"/>
      <c r="E144" s="152"/>
      <c r="F144" s="152"/>
      <c r="G144" s="150"/>
      <c r="H144" s="137">
        <f t="shared" si="2"/>
        <v>0</v>
      </c>
      <c r="I144" s="150"/>
      <c r="J144" s="150"/>
      <c r="K144" s="150"/>
      <c r="L144" s="150">
        <v>100</v>
      </c>
      <c r="M144" s="137">
        <f t="shared" si="3"/>
        <v>100</v>
      </c>
      <c r="N144" s="150"/>
      <c r="O144" s="150"/>
      <c r="P144" s="150"/>
      <c r="Q144" s="150"/>
      <c r="R144" s="137">
        <f t="shared" si="4"/>
        <v>0</v>
      </c>
      <c r="S144" s="150"/>
      <c r="T144" s="150"/>
      <c r="U144" s="150"/>
      <c r="V144" s="150"/>
      <c r="W144" s="137">
        <f t="shared" si="5"/>
        <v>0</v>
      </c>
    </row>
    <row r="145" spans="1:23" s="119" customFormat="1" ht="12.75" x14ac:dyDescent="0.2">
      <c r="A145" s="146"/>
      <c r="B145" s="147" t="s">
        <v>536</v>
      </c>
      <c r="C145" s="148"/>
      <c r="D145" s="152"/>
      <c r="E145" s="152"/>
      <c r="F145" s="152"/>
      <c r="G145" s="150">
        <v>30</v>
      </c>
      <c r="H145" s="137">
        <f t="shared" si="2"/>
        <v>30</v>
      </c>
      <c r="I145" s="150"/>
      <c r="J145" s="150"/>
      <c r="K145" s="150"/>
      <c r="L145" s="150"/>
      <c r="M145" s="137">
        <f t="shared" si="3"/>
        <v>0</v>
      </c>
      <c r="N145" s="150"/>
      <c r="O145" s="150"/>
      <c r="P145" s="150"/>
      <c r="Q145" s="150"/>
      <c r="R145" s="137">
        <f t="shared" si="4"/>
        <v>0</v>
      </c>
      <c r="S145" s="150"/>
      <c r="T145" s="150"/>
      <c r="U145" s="150"/>
      <c r="V145" s="150"/>
      <c r="W145" s="137">
        <f t="shared" si="5"/>
        <v>0</v>
      </c>
    </row>
    <row r="146" spans="1:23" s="119" customFormat="1" ht="25.5" x14ac:dyDescent="0.2">
      <c r="A146" s="146"/>
      <c r="B146" s="147" t="s">
        <v>537</v>
      </c>
      <c r="C146" s="148">
        <v>55</v>
      </c>
      <c r="D146" s="152"/>
      <c r="E146" s="152"/>
      <c r="F146" s="152"/>
      <c r="G146" s="150">
        <v>30</v>
      </c>
      <c r="H146" s="137">
        <f t="shared" si="2"/>
        <v>30</v>
      </c>
      <c r="I146" s="150"/>
      <c r="J146" s="150"/>
      <c r="K146" s="150"/>
      <c r="L146" s="150"/>
      <c r="M146" s="137">
        <f t="shared" si="3"/>
        <v>0</v>
      </c>
      <c r="N146" s="150"/>
      <c r="O146" s="150"/>
      <c r="P146" s="150"/>
      <c r="Q146" s="150"/>
      <c r="R146" s="137">
        <f t="shared" si="4"/>
        <v>0</v>
      </c>
      <c r="S146" s="150"/>
      <c r="T146" s="150"/>
      <c r="U146" s="150">
        <v>45</v>
      </c>
      <c r="V146" s="150"/>
      <c r="W146" s="137">
        <f t="shared" si="5"/>
        <v>45</v>
      </c>
    </row>
    <row r="147" spans="1:23" s="119" customFormat="1" ht="25.5" x14ac:dyDescent="0.2">
      <c r="A147" s="146"/>
      <c r="B147" s="147" t="s">
        <v>538</v>
      </c>
      <c r="C147" s="148"/>
      <c r="D147" s="152"/>
      <c r="E147" s="152"/>
      <c r="F147" s="152"/>
      <c r="G147" s="150"/>
      <c r="H147" s="137">
        <f t="shared" si="2"/>
        <v>0</v>
      </c>
      <c r="I147" s="150"/>
      <c r="J147" s="150"/>
      <c r="K147" s="150"/>
      <c r="L147" s="150"/>
      <c r="M147" s="137">
        <f t="shared" si="3"/>
        <v>0</v>
      </c>
      <c r="N147" s="150"/>
      <c r="O147" s="150"/>
      <c r="P147" s="150"/>
      <c r="Q147" s="150"/>
      <c r="R147" s="137">
        <f t="shared" si="4"/>
        <v>0</v>
      </c>
      <c r="S147" s="150"/>
      <c r="T147" s="150"/>
      <c r="U147" s="150"/>
      <c r="V147" s="150"/>
      <c r="W147" s="137">
        <f t="shared" si="5"/>
        <v>0</v>
      </c>
    </row>
    <row r="148" spans="1:23" s="119" customFormat="1" ht="38.25" x14ac:dyDescent="0.2">
      <c r="A148" s="146"/>
      <c r="B148" s="147" t="s">
        <v>539</v>
      </c>
      <c r="C148" s="148"/>
      <c r="D148" s="152"/>
      <c r="E148" s="152"/>
      <c r="F148" s="152"/>
      <c r="G148" s="150">
        <v>45</v>
      </c>
      <c r="H148" s="137">
        <f t="shared" si="2"/>
        <v>45</v>
      </c>
      <c r="I148" s="150"/>
      <c r="J148" s="150"/>
      <c r="K148" s="150"/>
      <c r="L148" s="150"/>
      <c r="M148" s="137">
        <f t="shared" si="3"/>
        <v>0</v>
      </c>
      <c r="N148" s="150"/>
      <c r="O148" s="150"/>
      <c r="P148" s="150"/>
      <c r="Q148" s="150"/>
      <c r="R148" s="137">
        <f t="shared" si="4"/>
        <v>0</v>
      </c>
      <c r="S148" s="150"/>
      <c r="T148" s="150"/>
      <c r="U148" s="150"/>
      <c r="V148" s="150"/>
      <c r="W148" s="137">
        <f t="shared" si="5"/>
        <v>0</v>
      </c>
    </row>
    <row r="149" spans="1:23" s="119" customFormat="1" ht="25.5" x14ac:dyDescent="0.2">
      <c r="A149" s="146"/>
      <c r="B149" s="147" t="s">
        <v>540</v>
      </c>
      <c r="C149" s="148"/>
      <c r="D149" s="152"/>
      <c r="E149" s="152"/>
      <c r="F149" s="152"/>
      <c r="G149" s="150"/>
      <c r="H149" s="137">
        <f t="shared" si="2"/>
        <v>0</v>
      </c>
      <c r="I149" s="150"/>
      <c r="J149" s="150"/>
      <c r="K149" s="150"/>
      <c r="L149" s="150"/>
      <c r="M149" s="137">
        <f t="shared" si="3"/>
        <v>0</v>
      </c>
      <c r="N149" s="150"/>
      <c r="O149" s="150"/>
      <c r="P149" s="150"/>
      <c r="Q149" s="150"/>
      <c r="R149" s="137">
        <f t="shared" si="4"/>
        <v>0</v>
      </c>
      <c r="S149" s="150"/>
      <c r="T149" s="150"/>
      <c r="U149" s="150"/>
      <c r="V149" s="150"/>
      <c r="W149" s="137">
        <f t="shared" si="5"/>
        <v>0</v>
      </c>
    </row>
    <row r="150" spans="1:23" s="119" customFormat="1" ht="38.25" x14ac:dyDescent="0.2">
      <c r="A150" s="146"/>
      <c r="B150" s="147" t="s">
        <v>541</v>
      </c>
      <c r="C150" s="148"/>
      <c r="D150" s="152"/>
      <c r="E150" s="152"/>
      <c r="F150" s="152"/>
      <c r="G150" s="150"/>
      <c r="H150" s="137">
        <f t="shared" si="2"/>
        <v>0</v>
      </c>
      <c r="I150" s="150"/>
      <c r="J150" s="150"/>
      <c r="K150" s="150"/>
      <c r="L150" s="150"/>
      <c r="M150" s="137">
        <f t="shared" si="3"/>
        <v>0</v>
      </c>
      <c r="N150" s="150"/>
      <c r="O150" s="150"/>
      <c r="P150" s="150"/>
      <c r="Q150" s="150"/>
      <c r="R150" s="137">
        <f t="shared" si="4"/>
        <v>0</v>
      </c>
      <c r="S150" s="150"/>
      <c r="T150" s="150"/>
      <c r="U150" s="150"/>
      <c r="V150" s="150"/>
      <c r="W150" s="137">
        <f t="shared" si="5"/>
        <v>0</v>
      </c>
    </row>
    <row r="151" spans="1:23" s="119" customFormat="1" ht="12.75" x14ac:dyDescent="0.2">
      <c r="A151" s="146"/>
      <c r="B151" s="147" t="s">
        <v>542</v>
      </c>
      <c r="C151" s="148"/>
      <c r="D151" s="152"/>
      <c r="E151" s="152"/>
      <c r="F151" s="152">
        <v>40</v>
      </c>
      <c r="G151" s="150"/>
      <c r="H151" s="137">
        <f t="shared" si="2"/>
        <v>40</v>
      </c>
      <c r="I151" s="150"/>
      <c r="J151" s="150"/>
      <c r="K151" s="150"/>
      <c r="L151" s="150"/>
      <c r="M151" s="137">
        <f t="shared" si="3"/>
        <v>0</v>
      </c>
      <c r="N151" s="150"/>
      <c r="O151" s="150"/>
      <c r="P151" s="150"/>
      <c r="Q151" s="150"/>
      <c r="R151" s="137">
        <f t="shared" si="4"/>
        <v>0</v>
      </c>
      <c r="S151" s="150"/>
      <c r="T151" s="150"/>
      <c r="U151" s="150"/>
      <c r="V151" s="150"/>
      <c r="W151" s="137">
        <f t="shared" si="5"/>
        <v>0</v>
      </c>
    </row>
    <row r="152" spans="1:23" s="119" customFormat="1" ht="38.25" x14ac:dyDescent="0.2">
      <c r="A152" s="146"/>
      <c r="B152" s="147" t="s">
        <v>543</v>
      </c>
      <c r="C152" s="148"/>
      <c r="D152" s="152"/>
      <c r="E152" s="152"/>
      <c r="F152" s="152"/>
      <c r="G152" s="150"/>
      <c r="H152" s="137">
        <f t="shared" si="2"/>
        <v>0</v>
      </c>
      <c r="I152" s="150"/>
      <c r="J152" s="150"/>
      <c r="K152" s="150"/>
      <c r="L152" s="150"/>
      <c r="M152" s="137">
        <f t="shared" si="3"/>
        <v>0</v>
      </c>
      <c r="N152" s="150"/>
      <c r="O152" s="150"/>
      <c r="P152" s="150"/>
      <c r="Q152" s="150"/>
      <c r="R152" s="137">
        <f t="shared" si="4"/>
        <v>0</v>
      </c>
      <c r="S152" s="150"/>
      <c r="T152" s="150"/>
      <c r="U152" s="150"/>
      <c r="V152" s="150"/>
      <c r="W152" s="137">
        <f t="shared" si="5"/>
        <v>0</v>
      </c>
    </row>
    <row r="153" spans="1:23" s="119" customFormat="1" ht="38.25" x14ac:dyDescent="0.2">
      <c r="A153" s="146"/>
      <c r="B153" s="147" t="s">
        <v>544</v>
      </c>
      <c r="C153" s="148"/>
      <c r="D153" s="152"/>
      <c r="E153" s="152"/>
      <c r="F153" s="152">
        <v>78</v>
      </c>
      <c r="G153" s="150"/>
      <c r="H153" s="137">
        <f t="shared" si="2"/>
        <v>78</v>
      </c>
      <c r="I153" s="150"/>
      <c r="J153" s="150"/>
      <c r="K153" s="150"/>
      <c r="L153" s="150"/>
      <c r="M153" s="137">
        <f t="shared" si="3"/>
        <v>0</v>
      </c>
      <c r="N153" s="150"/>
      <c r="O153" s="150"/>
      <c r="P153" s="150"/>
      <c r="Q153" s="150"/>
      <c r="R153" s="137">
        <f t="shared" si="4"/>
        <v>0</v>
      </c>
      <c r="S153" s="150"/>
      <c r="T153" s="150"/>
      <c r="U153" s="150"/>
      <c r="V153" s="150"/>
      <c r="W153" s="137">
        <f t="shared" si="5"/>
        <v>0</v>
      </c>
    </row>
    <row r="154" spans="1:23" s="119" customFormat="1" ht="25.5" x14ac:dyDescent="0.2">
      <c r="A154" s="146"/>
      <c r="B154" s="147" t="s">
        <v>545</v>
      </c>
      <c r="C154" s="148"/>
      <c r="D154" s="152">
        <v>113</v>
      </c>
      <c r="E154" s="152"/>
      <c r="F154" s="152"/>
      <c r="G154" s="150"/>
      <c r="H154" s="137">
        <f t="shared" si="2"/>
        <v>113</v>
      </c>
      <c r="I154" s="150"/>
      <c r="J154" s="150"/>
      <c r="K154" s="150"/>
      <c r="L154" s="150"/>
      <c r="M154" s="137">
        <f t="shared" si="3"/>
        <v>0</v>
      </c>
      <c r="N154" s="150"/>
      <c r="O154" s="150"/>
      <c r="P154" s="150"/>
      <c r="Q154" s="150"/>
      <c r="R154" s="137">
        <f t="shared" si="4"/>
        <v>0</v>
      </c>
      <c r="S154" s="150"/>
      <c r="T154" s="150"/>
      <c r="U154" s="150"/>
      <c r="V154" s="150"/>
      <c r="W154" s="137">
        <f t="shared" si="5"/>
        <v>0</v>
      </c>
    </row>
    <row r="155" spans="1:23" s="119" customFormat="1" ht="25.5" x14ac:dyDescent="0.2">
      <c r="A155" s="146"/>
      <c r="B155" s="147" t="s">
        <v>546</v>
      </c>
      <c r="C155" s="148"/>
      <c r="D155" s="152"/>
      <c r="E155" s="152"/>
      <c r="F155" s="152"/>
      <c r="G155" s="150"/>
      <c r="H155" s="137">
        <f t="shared" si="2"/>
        <v>0</v>
      </c>
      <c r="I155" s="150"/>
      <c r="J155" s="150"/>
      <c r="K155" s="150"/>
      <c r="L155" s="150"/>
      <c r="M155" s="137">
        <f t="shared" si="3"/>
        <v>0</v>
      </c>
      <c r="N155" s="150"/>
      <c r="O155" s="150"/>
      <c r="P155" s="150"/>
      <c r="Q155" s="150"/>
      <c r="R155" s="137">
        <f t="shared" si="4"/>
        <v>0</v>
      </c>
      <c r="S155" s="150"/>
      <c r="T155" s="150"/>
      <c r="U155" s="150"/>
      <c r="V155" s="150"/>
      <c r="W155" s="137">
        <f t="shared" si="5"/>
        <v>0</v>
      </c>
    </row>
    <row r="156" spans="1:23" s="119" customFormat="1" ht="25.5" x14ac:dyDescent="0.2">
      <c r="A156" s="146"/>
      <c r="B156" s="147" t="s">
        <v>547</v>
      </c>
      <c r="C156" s="148"/>
      <c r="D156" s="152"/>
      <c r="E156" s="152"/>
      <c r="F156" s="152"/>
      <c r="G156" s="150"/>
      <c r="H156" s="137">
        <f t="shared" ref="H156:H219" si="6">SUM(D156:G156)</f>
        <v>0</v>
      </c>
      <c r="I156" s="150"/>
      <c r="J156" s="150"/>
      <c r="K156" s="150"/>
      <c r="L156" s="150"/>
      <c r="M156" s="137">
        <f t="shared" ref="M156:M219" si="7">SUM(I156:L156)</f>
        <v>0</v>
      </c>
      <c r="N156" s="150"/>
      <c r="O156" s="150"/>
      <c r="P156" s="150"/>
      <c r="Q156" s="150"/>
      <c r="R156" s="137">
        <f t="shared" ref="R156:R219" si="8">SUM(N156:Q156)</f>
        <v>0</v>
      </c>
      <c r="S156" s="150"/>
      <c r="T156" s="150"/>
      <c r="U156" s="150"/>
      <c r="V156" s="150"/>
      <c r="W156" s="137">
        <f t="shared" ref="W156:W219" si="9">SUM(S156:V156)</f>
        <v>0</v>
      </c>
    </row>
    <row r="157" spans="1:23" s="119" customFormat="1" ht="38.25" x14ac:dyDescent="0.2">
      <c r="A157" s="146"/>
      <c r="B157" s="147" t="s">
        <v>548</v>
      </c>
      <c r="C157" s="148"/>
      <c r="D157" s="152"/>
      <c r="E157" s="152"/>
      <c r="F157" s="152">
        <v>60</v>
      </c>
      <c r="G157" s="150"/>
      <c r="H157" s="137">
        <f t="shared" si="6"/>
        <v>60</v>
      </c>
      <c r="I157" s="150"/>
      <c r="J157" s="150"/>
      <c r="K157" s="150"/>
      <c r="L157" s="150"/>
      <c r="M157" s="137">
        <f t="shared" si="7"/>
        <v>0</v>
      </c>
      <c r="N157" s="150"/>
      <c r="O157" s="150"/>
      <c r="P157" s="150"/>
      <c r="Q157" s="150"/>
      <c r="R157" s="137">
        <f t="shared" si="8"/>
        <v>0</v>
      </c>
      <c r="S157" s="150"/>
      <c r="T157" s="150"/>
      <c r="U157" s="150"/>
      <c r="V157" s="150"/>
      <c r="W157" s="137">
        <f t="shared" si="9"/>
        <v>0</v>
      </c>
    </row>
    <row r="158" spans="1:23" s="119" customFormat="1" ht="25.5" x14ac:dyDescent="0.2">
      <c r="A158" s="146"/>
      <c r="B158" s="147" t="s">
        <v>549</v>
      </c>
      <c r="C158" s="148"/>
      <c r="D158" s="152"/>
      <c r="E158" s="152">
        <v>195</v>
      </c>
      <c r="F158" s="152"/>
      <c r="G158" s="150"/>
      <c r="H158" s="137">
        <f t="shared" si="6"/>
        <v>195</v>
      </c>
      <c r="I158" s="150"/>
      <c r="J158" s="150"/>
      <c r="K158" s="150"/>
      <c r="L158" s="150"/>
      <c r="M158" s="137">
        <f t="shared" si="7"/>
        <v>0</v>
      </c>
      <c r="N158" s="150"/>
      <c r="O158" s="150"/>
      <c r="P158" s="150"/>
      <c r="Q158" s="150"/>
      <c r="R158" s="137">
        <f t="shared" si="8"/>
        <v>0</v>
      </c>
      <c r="S158" s="150"/>
      <c r="T158" s="150"/>
      <c r="U158" s="150"/>
      <c r="V158" s="150"/>
      <c r="W158" s="137">
        <f t="shared" si="9"/>
        <v>0</v>
      </c>
    </row>
    <row r="159" spans="1:23" s="119" customFormat="1" ht="12.75" x14ac:dyDescent="0.2">
      <c r="A159" s="146"/>
      <c r="B159" s="147" t="s">
        <v>550</v>
      </c>
      <c r="C159" s="148"/>
      <c r="D159" s="152"/>
      <c r="E159" s="152"/>
      <c r="F159" s="152"/>
      <c r="G159" s="150"/>
      <c r="H159" s="137">
        <f t="shared" si="6"/>
        <v>0</v>
      </c>
      <c r="I159" s="150"/>
      <c r="J159" s="150"/>
      <c r="K159" s="150"/>
      <c r="L159" s="150"/>
      <c r="M159" s="137">
        <f t="shared" si="7"/>
        <v>0</v>
      </c>
      <c r="N159" s="150"/>
      <c r="O159" s="150"/>
      <c r="P159" s="150"/>
      <c r="Q159" s="150"/>
      <c r="R159" s="137">
        <f t="shared" si="8"/>
        <v>0</v>
      </c>
      <c r="S159" s="150"/>
      <c r="T159" s="150"/>
      <c r="U159" s="150"/>
      <c r="V159" s="150"/>
      <c r="W159" s="137">
        <f t="shared" si="9"/>
        <v>0</v>
      </c>
    </row>
    <row r="160" spans="1:23" s="119" customFormat="1" ht="25.5" x14ac:dyDescent="0.2">
      <c r="A160" s="146"/>
      <c r="B160" s="147" t="s">
        <v>551</v>
      </c>
      <c r="C160" s="148"/>
      <c r="D160" s="152"/>
      <c r="E160" s="152"/>
      <c r="F160" s="152"/>
      <c r="G160" s="150"/>
      <c r="H160" s="137">
        <f t="shared" si="6"/>
        <v>0</v>
      </c>
      <c r="I160" s="150">
        <v>500</v>
      </c>
      <c r="J160" s="150"/>
      <c r="K160" s="150">
        <v>500</v>
      </c>
      <c r="L160" s="150"/>
      <c r="M160" s="137">
        <f t="shared" si="7"/>
        <v>1000</v>
      </c>
      <c r="N160" s="150"/>
      <c r="O160" s="150"/>
      <c r="P160" s="150"/>
      <c r="Q160" s="150"/>
      <c r="R160" s="137">
        <f t="shared" si="8"/>
        <v>0</v>
      </c>
      <c r="S160" s="150"/>
      <c r="T160" s="150"/>
      <c r="U160" s="150"/>
      <c r="V160" s="150"/>
      <c r="W160" s="137">
        <f t="shared" si="9"/>
        <v>0</v>
      </c>
    </row>
    <row r="161" spans="1:23" s="119" customFormat="1" ht="25.5" x14ac:dyDescent="0.2">
      <c r="A161" s="146"/>
      <c r="B161" s="147" t="s">
        <v>552</v>
      </c>
      <c r="C161" s="148"/>
      <c r="D161" s="152"/>
      <c r="E161" s="152"/>
      <c r="F161" s="152"/>
      <c r="G161" s="150"/>
      <c r="H161" s="137">
        <f t="shared" si="6"/>
        <v>0</v>
      </c>
      <c r="I161" s="150"/>
      <c r="J161" s="150"/>
      <c r="K161" s="150"/>
      <c r="L161" s="150"/>
      <c r="M161" s="137">
        <f t="shared" si="7"/>
        <v>0</v>
      </c>
      <c r="N161" s="150"/>
      <c r="O161" s="150"/>
      <c r="P161" s="150"/>
      <c r="Q161" s="150"/>
      <c r="R161" s="137">
        <f t="shared" si="8"/>
        <v>0</v>
      </c>
      <c r="S161" s="150"/>
      <c r="T161" s="150">
        <v>30</v>
      </c>
      <c r="U161" s="150"/>
      <c r="V161" s="150"/>
      <c r="W161" s="137">
        <f t="shared" si="9"/>
        <v>30</v>
      </c>
    </row>
    <row r="162" spans="1:23" s="119" customFormat="1" ht="25.5" x14ac:dyDescent="0.2">
      <c r="A162" s="146"/>
      <c r="B162" s="147" t="s">
        <v>553</v>
      </c>
      <c r="C162" s="148"/>
      <c r="D162" s="152"/>
      <c r="E162" s="152"/>
      <c r="F162" s="152"/>
      <c r="G162" s="150">
        <v>30</v>
      </c>
      <c r="H162" s="137">
        <f t="shared" si="6"/>
        <v>30</v>
      </c>
      <c r="I162" s="150"/>
      <c r="J162" s="150"/>
      <c r="K162" s="150"/>
      <c r="L162" s="150"/>
      <c r="M162" s="137">
        <f t="shared" si="7"/>
        <v>0</v>
      </c>
      <c r="N162" s="150"/>
      <c r="O162" s="150"/>
      <c r="P162" s="150"/>
      <c r="Q162" s="150"/>
      <c r="R162" s="137">
        <f t="shared" si="8"/>
        <v>0</v>
      </c>
      <c r="S162" s="150"/>
      <c r="T162" s="150"/>
      <c r="U162" s="150"/>
      <c r="V162" s="150"/>
      <c r="W162" s="137">
        <f t="shared" si="9"/>
        <v>0</v>
      </c>
    </row>
    <row r="163" spans="1:23" s="119" customFormat="1" ht="25.5" x14ac:dyDescent="0.2">
      <c r="A163" s="146"/>
      <c r="B163" s="147" t="s">
        <v>554</v>
      </c>
      <c r="C163" s="148"/>
      <c r="D163" s="152"/>
      <c r="E163" s="152"/>
      <c r="F163" s="152"/>
      <c r="G163" s="150"/>
      <c r="H163" s="137">
        <f t="shared" si="6"/>
        <v>0</v>
      </c>
      <c r="I163" s="150"/>
      <c r="J163" s="150">
        <v>75</v>
      </c>
      <c r="K163" s="150"/>
      <c r="L163" s="150"/>
      <c r="M163" s="137">
        <f t="shared" si="7"/>
        <v>75</v>
      </c>
      <c r="N163" s="150"/>
      <c r="O163" s="150"/>
      <c r="P163" s="150"/>
      <c r="Q163" s="150"/>
      <c r="R163" s="137">
        <f t="shared" si="8"/>
        <v>0</v>
      </c>
      <c r="S163" s="150"/>
      <c r="T163" s="150"/>
      <c r="U163" s="150"/>
      <c r="V163" s="150"/>
      <c r="W163" s="137">
        <f t="shared" si="9"/>
        <v>0</v>
      </c>
    </row>
    <row r="164" spans="1:23" s="119" customFormat="1" ht="25.5" x14ac:dyDescent="0.2">
      <c r="A164" s="146"/>
      <c r="B164" s="147" t="s">
        <v>555</v>
      </c>
      <c r="C164" s="148"/>
      <c r="D164" s="152"/>
      <c r="E164" s="152"/>
      <c r="F164" s="152"/>
      <c r="G164" s="150"/>
      <c r="H164" s="137">
        <f t="shared" si="6"/>
        <v>0</v>
      </c>
      <c r="I164" s="150"/>
      <c r="J164" s="150"/>
      <c r="K164" s="150"/>
      <c r="L164" s="150"/>
      <c r="M164" s="137">
        <f t="shared" si="7"/>
        <v>0</v>
      </c>
      <c r="N164" s="150"/>
      <c r="O164" s="150"/>
      <c r="P164" s="150"/>
      <c r="Q164" s="150"/>
      <c r="R164" s="137">
        <f t="shared" si="8"/>
        <v>0</v>
      </c>
      <c r="S164" s="150"/>
      <c r="T164" s="150"/>
      <c r="U164" s="150">
        <v>30</v>
      </c>
      <c r="V164" s="150"/>
      <c r="W164" s="137">
        <f t="shared" si="9"/>
        <v>30</v>
      </c>
    </row>
    <row r="165" spans="1:23" s="119" customFormat="1" ht="38.25" x14ac:dyDescent="0.2">
      <c r="A165" s="146"/>
      <c r="B165" s="147" t="s">
        <v>556</v>
      </c>
      <c r="C165" s="148"/>
      <c r="D165" s="152"/>
      <c r="E165" s="152"/>
      <c r="F165" s="152"/>
      <c r="G165" s="150">
        <v>30</v>
      </c>
      <c r="H165" s="137">
        <f t="shared" si="6"/>
        <v>30</v>
      </c>
      <c r="I165" s="150"/>
      <c r="J165" s="150"/>
      <c r="K165" s="150"/>
      <c r="L165" s="150"/>
      <c r="M165" s="137">
        <f t="shared" si="7"/>
        <v>0</v>
      </c>
      <c r="N165" s="150"/>
      <c r="O165" s="150"/>
      <c r="P165" s="150"/>
      <c r="Q165" s="150"/>
      <c r="R165" s="137">
        <f t="shared" si="8"/>
        <v>0</v>
      </c>
      <c r="S165" s="150"/>
      <c r="T165" s="150"/>
      <c r="U165" s="150"/>
      <c r="V165" s="150"/>
      <c r="W165" s="137">
        <f t="shared" si="9"/>
        <v>0</v>
      </c>
    </row>
    <row r="166" spans="1:23" s="119" customFormat="1" ht="25.5" x14ac:dyDescent="0.2">
      <c r="A166" s="146"/>
      <c r="B166" s="147" t="s">
        <v>557</v>
      </c>
      <c r="C166" s="148"/>
      <c r="D166" s="152"/>
      <c r="E166" s="152"/>
      <c r="F166" s="152"/>
      <c r="G166" s="150"/>
      <c r="H166" s="137">
        <f t="shared" si="6"/>
        <v>0</v>
      </c>
      <c r="I166" s="150"/>
      <c r="J166" s="150"/>
      <c r="K166" s="150"/>
      <c r="L166" s="150">
        <v>250</v>
      </c>
      <c r="M166" s="137">
        <f t="shared" si="7"/>
        <v>250</v>
      </c>
      <c r="N166" s="150"/>
      <c r="O166" s="150"/>
      <c r="P166" s="150"/>
      <c r="Q166" s="150"/>
      <c r="R166" s="137">
        <f t="shared" si="8"/>
        <v>0</v>
      </c>
      <c r="S166" s="150"/>
      <c r="T166" s="150"/>
      <c r="U166" s="150"/>
      <c r="V166" s="150"/>
      <c r="W166" s="137">
        <f t="shared" si="9"/>
        <v>0</v>
      </c>
    </row>
    <row r="167" spans="1:23" s="119" customFormat="1" ht="12.75" x14ac:dyDescent="0.2">
      <c r="A167" s="146"/>
      <c r="B167" s="147" t="s">
        <v>558</v>
      </c>
      <c r="C167" s="148"/>
      <c r="D167" s="152"/>
      <c r="E167" s="152"/>
      <c r="F167" s="152">
        <v>108</v>
      </c>
      <c r="G167" s="150"/>
      <c r="H167" s="137">
        <f t="shared" si="6"/>
        <v>108</v>
      </c>
      <c r="I167" s="150"/>
      <c r="J167" s="150"/>
      <c r="K167" s="150"/>
      <c r="L167" s="150"/>
      <c r="M167" s="137">
        <f t="shared" si="7"/>
        <v>0</v>
      </c>
      <c r="N167" s="150"/>
      <c r="O167" s="150"/>
      <c r="P167" s="150"/>
      <c r="Q167" s="150"/>
      <c r="R167" s="137">
        <f t="shared" si="8"/>
        <v>0</v>
      </c>
      <c r="S167" s="150"/>
      <c r="T167" s="150"/>
      <c r="U167" s="150"/>
      <c r="V167" s="150"/>
      <c r="W167" s="137">
        <f t="shared" si="9"/>
        <v>0</v>
      </c>
    </row>
    <row r="168" spans="1:23" s="119" customFormat="1" ht="25.5" x14ac:dyDescent="0.2">
      <c r="A168" s="146"/>
      <c r="B168" s="147" t="s">
        <v>559</v>
      </c>
      <c r="C168" s="148">
        <v>63</v>
      </c>
      <c r="D168" s="152"/>
      <c r="E168" s="152"/>
      <c r="F168" s="152"/>
      <c r="G168" s="150">
        <v>30</v>
      </c>
      <c r="H168" s="137">
        <f t="shared" si="6"/>
        <v>30</v>
      </c>
      <c r="I168" s="150"/>
      <c r="J168" s="150"/>
      <c r="K168" s="150"/>
      <c r="L168" s="150"/>
      <c r="M168" s="137">
        <f t="shared" si="7"/>
        <v>0</v>
      </c>
      <c r="N168" s="150"/>
      <c r="O168" s="150"/>
      <c r="P168" s="150"/>
      <c r="Q168" s="150"/>
      <c r="R168" s="137">
        <f t="shared" si="8"/>
        <v>0</v>
      </c>
      <c r="S168" s="150"/>
      <c r="T168" s="150"/>
      <c r="U168" s="150">
        <v>40</v>
      </c>
      <c r="V168" s="150"/>
      <c r="W168" s="137">
        <f t="shared" si="9"/>
        <v>40</v>
      </c>
    </row>
    <row r="169" spans="1:23" s="119" customFormat="1" ht="25.5" x14ac:dyDescent="0.2">
      <c r="A169" s="146"/>
      <c r="B169" s="147" t="s">
        <v>560</v>
      </c>
      <c r="C169" s="148"/>
      <c r="D169" s="152"/>
      <c r="E169" s="152"/>
      <c r="F169" s="152"/>
      <c r="G169" s="150">
        <v>30</v>
      </c>
      <c r="H169" s="137">
        <f t="shared" si="6"/>
        <v>30</v>
      </c>
      <c r="I169" s="150"/>
      <c r="J169" s="150"/>
      <c r="K169" s="150"/>
      <c r="L169" s="150"/>
      <c r="M169" s="137">
        <f t="shared" si="7"/>
        <v>0</v>
      </c>
      <c r="N169" s="150"/>
      <c r="O169" s="150"/>
      <c r="P169" s="150"/>
      <c r="Q169" s="150"/>
      <c r="R169" s="137">
        <f t="shared" si="8"/>
        <v>0</v>
      </c>
      <c r="S169" s="150"/>
      <c r="T169" s="150"/>
      <c r="U169" s="150"/>
      <c r="V169" s="150"/>
      <c r="W169" s="137">
        <f t="shared" si="9"/>
        <v>0</v>
      </c>
    </row>
    <row r="170" spans="1:23" s="119" customFormat="1" ht="25.5" x14ac:dyDescent="0.2">
      <c r="A170" s="146"/>
      <c r="B170" s="147" t="s">
        <v>561</v>
      </c>
      <c r="C170" s="148"/>
      <c r="D170" s="152"/>
      <c r="E170" s="152"/>
      <c r="F170" s="152"/>
      <c r="G170" s="150">
        <v>50</v>
      </c>
      <c r="H170" s="137">
        <f t="shared" si="6"/>
        <v>50</v>
      </c>
      <c r="I170" s="150"/>
      <c r="J170" s="150"/>
      <c r="K170" s="150"/>
      <c r="L170" s="150"/>
      <c r="M170" s="137">
        <f t="shared" si="7"/>
        <v>0</v>
      </c>
      <c r="N170" s="150"/>
      <c r="O170" s="150"/>
      <c r="P170" s="150"/>
      <c r="Q170" s="150"/>
      <c r="R170" s="137">
        <f t="shared" si="8"/>
        <v>0</v>
      </c>
      <c r="S170" s="150"/>
      <c r="T170" s="150"/>
      <c r="U170" s="150"/>
      <c r="V170" s="150"/>
      <c r="W170" s="137">
        <f t="shared" si="9"/>
        <v>0</v>
      </c>
    </row>
    <row r="171" spans="1:23" s="119" customFormat="1" ht="63.75" x14ac:dyDescent="0.2">
      <c r="A171" s="146"/>
      <c r="B171" s="147" t="s">
        <v>562</v>
      </c>
      <c r="C171" s="148"/>
      <c r="D171" s="152"/>
      <c r="E171" s="152"/>
      <c r="F171" s="152"/>
      <c r="G171" s="150"/>
      <c r="H171" s="137">
        <f t="shared" si="6"/>
        <v>0</v>
      </c>
      <c r="I171" s="150"/>
      <c r="J171" s="150"/>
      <c r="K171" s="150"/>
      <c r="L171" s="150"/>
      <c r="M171" s="137">
        <f t="shared" si="7"/>
        <v>0</v>
      </c>
      <c r="N171" s="150"/>
      <c r="O171" s="150"/>
      <c r="P171" s="150"/>
      <c r="Q171" s="150">
        <v>60</v>
      </c>
      <c r="R171" s="137">
        <f t="shared" si="8"/>
        <v>60</v>
      </c>
      <c r="S171" s="150"/>
      <c r="T171" s="150"/>
      <c r="U171" s="150"/>
      <c r="V171" s="150"/>
      <c r="W171" s="137">
        <f t="shared" si="9"/>
        <v>0</v>
      </c>
    </row>
    <row r="172" spans="1:23" s="119" customFormat="1" ht="12.75" x14ac:dyDescent="0.2">
      <c r="A172" s="146"/>
      <c r="B172" s="147" t="s">
        <v>563</v>
      </c>
      <c r="C172" s="148"/>
      <c r="D172" s="152">
        <v>202</v>
      </c>
      <c r="E172" s="152"/>
      <c r="F172" s="152"/>
      <c r="G172" s="150"/>
      <c r="H172" s="137">
        <f t="shared" si="6"/>
        <v>202</v>
      </c>
      <c r="I172" s="150"/>
      <c r="J172" s="150"/>
      <c r="K172" s="150"/>
      <c r="L172" s="150"/>
      <c r="M172" s="137">
        <f t="shared" si="7"/>
        <v>0</v>
      </c>
      <c r="N172" s="150"/>
      <c r="O172" s="150"/>
      <c r="P172" s="150"/>
      <c r="Q172" s="150"/>
      <c r="R172" s="137">
        <f t="shared" si="8"/>
        <v>0</v>
      </c>
      <c r="S172" s="150"/>
      <c r="T172" s="150"/>
      <c r="U172" s="150"/>
      <c r="V172" s="150"/>
      <c r="W172" s="137">
        <f t="shared" si="9"/>
        <v>0</v>
      </c>
    </row>
    <row r="173" spans="1:23" s="119" customFormat="1" ht="12.75" x14ac:dyDescent="0.2">
      <c r="A173" s="146"/>
      <c r="B173" s="147" t="s">
        <v>564</v>
      </c>
      <c r="C173" s="148"/>
      <c r="D173" s="152"/>
      <c r="E173" s="152"/>
      <c r="F173" s="152"/>
      <c r="G173" s="150">
        <v>300</v>
      </c>
      <c r="H173" s="137">
        <f t="shared" si="6"/>
        <v>300</v>
      </c>
      <c r="I173" s="150"/>
      <c r="J173" s="150"/>
      <c r="K173" s="150"/>
      <c r="L173" s="150"/>
      <c r="M173" s="137">
        <f t="shared" si="7"/>
        <v>0</v>
      </c>
      <c r="N173" s="150"/>
      <c r="O173" s="150"/>
      <c r="P173" s="150"/>
      <c r="Q173" s="150"/>
      <c r="R173" s="137">
        <f t="shared" si="8"/>
        <v>0</v>
      </c>
      <c r="S173" s="150"/>
      <c r="T173" s="150"/>
      <c r="U173" s="150"/>
      <c r="V173" s="150"/>
      <c r="W173" s="137">
        <f t="shared" si="9"/>
        <v>0</v>
      </c>
    </row>
    <row r="174" spans="1:23" s="119" customFormat="1" ht="51" x14ac:dyDescent="0.2">
      <c r="A174" s="146"/>
      <c r="B174" s="147" t="s">
        <v>565</v>
      </c>
      <c r="C174" s="148">
        <v>123</v>
      </c>
      <c r="D174" s="152"/>
      <c r="E174" s="152"/>
      <c r="F174" s="152"/>
      <c r="G174" s="150"/>
      <c r="H174" s="137">
        <f t="shared" si="6"/>
        <v>0</v>
      </c>
      <c r="I174" s="150"/>
      <c r="J174" s="150"/>
      <c r="K174" s="150"/>
      <c r="L174" s="150"/>
      <c r="M174" s="137">
        <f t="shared" si="7"/>
        <v>0</v>
      </c>
      <c r="N174" s="150"/>
      <c r="O174" s="150"/>
      <c r="P174" s="150"/>
      <c r="Q174" s="150"/>
      <c r="R174" s="137">
        <f t="shared" si="8"/>
        <v>0</v>
      </c>
      <c r="S174" s="150"/>
      <c r="T174" s="150"/>
      <c r="U174" s="150">
        <v>250</v>
      </c>
      <c r="V174" s="150"/>
      <c r="W174" s="137">
        <f t="shared" si="9"/>
        <v>250</v>
      </c>
    </row>
    <row r="175" spans="1:23" s="119" customFormat="1" ht="25.5" x14ac:dyDescent="0.2">
      <c r="A175" s="146"/>
      <c r="B175" s="147" t="s">
        <v>566</v>
      </c>
      <c r="C175" s="148"/>
      <c r="D175" s="152"/>
      <c r="E175" s="152"/>
      <c r="F175" s="152"/>
      <c r="G175" s="150"/>
      <c r="H175" s="137">
        <f t="shared" si="6"/>
        <v>0</v>
      </c>
      <c r="I175" s="150"/>
      <c r="J175" s="150"/>
      <c r="K175" s="150"/>
      <c r="L175" s="150"/>
      <c r="M175" s="137">
        <f t="shared" si="7"/>
        <v>0</v>
      </c>
      <c r="N175" s="150"/>
      <c r="O175" s="150"/>
      <c r="P175" s="150"/>
      <c r="Q175" s="150"/>
      <c r="R175" s="137">
        <f t="shared" si="8"/>
        <v>0</v>
      </c>
      <c r="S175" s="150"/>
      <c r="T175" s="150"/>
      <c r="U175" s="150"/>
      <c r="V175" s="150"/>
      <c r="W175" s="137">
        <f t="shared" si="9"/>
        <v>0</v>
      </c>
    </row>
    <row r="176" spans="1:23" s="119" customFormat="1" ht="12.75" x14ac:dyDescent="0.2">
      <c r="A176" s="146"/>
      <c r="B176" s="147" t="s">
        <v>567</v>
      </c>
      <c r="C176" s="148"/>
      <c r="D176" s="152"/>
      <c r="E176" s="152"/>
      <c r="F176" s="152"/>
      <c r="G176" s="150">
        <v>40</v>
      </c>
      <c r="H176" s="137">
        <f t="shared" si="6"/>
        <v>40</v>
      </c>
      <c r="I176" s="150"/>
      <c r="J176" s="150"/>
      <c r="K176" s="150"/>
      <c r="L176" s="150"/>
      <c r="M176" s="137">
        <f t="shared" si="7"/>
        <v>0</v>
      </c>
      <c r="N176" s="150"/>
      <c r="O176" s="150"/>
      <c r="P176" s="150"/>
      <c r="Q176" s="150"/>
      <c r="R176" s="137">
        <f t="shared" si="8"/>
        <v>0</v>
      </c>
      <c r="S176" s="150"/>
      <c r="T176" s="150"/>
      <c r="U176" s="150"/>
      <c r="V176" s="150"/>
      <c r="W176" s="137">
        <f t="shared" si="9"/>
        <v>0</v>
      </c>
    </row>
    <row r="177" spans="1:23" s="119" customFormat="1" ht="12.75" x14ac:dyDescent="0.2">
      <c r="A177" s="146"/>
      <c r="B177" s="147" t="s">
        <v>568</v>
      </c>
      <c r="C177" s="148"/>
      <c r="D177" s="152">
        <v>117</v>
      </c>
      <c r="E177" s="152"/>
      <c r="F177" s="152"/>
      <c r="G177" s="150"/>
      <c r="H177" s="137">
        <f t="shared" si="6"/>
        <v>117</v>
      </c>
      <c r="I177" s="150"/>
      <c r="J177" s="150"/>
      <c r="K177" s="150"/>
      <c r="L177" s="150"/>
      <c r="M177" s="137">
        <f t="shared" si="7"/>
        <v>0</v>
      </c>
      <c r="N177" s="150"/>
      <c r="O177" s="150"/>
      <c r="P177" s="150"/>
      <c r="Q177" s="150"/>
      <c r="R177" s="137">
        <f t="shared" si="8"/>
        <v>0</v>
      </c>
      <c r="S177" s="150"/>
      <c r="T177" s="150"/>
      <c r="U177" s="150"/>
      <c r="V177" s="150"/>
      <c r="W177" s="137">
        <f t="shared" si="9"/>
        <v>0</v>
      </c>
    </row>
    <row r="178" spans="1:23" s="119" customFormat="1" ht="12.75" x14ac:dyDescent="0.2">
      <c r="A178" s="146"/>
      <c r="B178" s="147" t="s">
        <v>569</v>
      </c>
      <c r="C178" s="148"/>
      <c r="D178" s="152"/>
      <c r="E178" s="152"/>
      <c r="F178" s="152"/>
      <c r="G178" s="150"/>
      <c r="H178" s="137">
        <f t="shared" si="6"/>
        <v>0</v>
      </c>
      <c r="I178" s="150"/>
      <c r="J178" s="150"/>
      <c r="K178" s="150"/>
      <c r="L178" s="150"/>
      <c r="M178" s="137">
        <f t="shared" si="7"/>
        <v>0</v>
      </c>
      <c r="N178" s="150"/>
      <c r="O178" s="150"/>
      <c r="P178" s="150"/>
      <c r="Q178" s="150"/>
      <c r="R178" s="137">
        <f t="shared" si="8"/>
        <v>0</v>
      </c>
      <c r="S178" s="150"/>
      <c r="T178" s="150"/>
      <c r="U178" s="150"/>
      <c r="V178" s="150"/>
      <c r="W178" s="137">
        <f t="shared" si="9"/>
        <v>0</v>
      </c>
    </row>
    <row r="179" spans="1:23" s="119" customFormat="1" ht="12.75" x14ac:dyDescent="0.2">
      <c r="A179" s="146"/>
      <c r="B179" s="147" t="s">
        <v>570</v>
      </c>
      <c r="C179" s="148"/>
      <c r="D179" s="152"/>
      <c r="E179" s="152"/>
      <c r="F179" s="152">
        <v>40</v>
      </c>
      <c r="G179" s="150"/>
      <c r="H179" s="137">
        <f t="shared" si="6"/>
        <v>40</v>
      </c>
      <c r="I179" s="150"/>
      <c r="J179" s="150"/>
      <c r="K179" s="150"/>
      <c r="L179" s="150"/>
      <c r="M179" s="137">
        <f t="shared" si="7"/>
        <v>0</v>
      </c>
      <c r="N179" s="150"/>
      <c r="O179" s="150"/>
      <c r="P179" s="150"/>
      <c r="Q179" s="150"/>
      <c r="R179" s="137">
        <f t="shared" si="8"/>
        <v>0</v>
      </c>
      <c r="S179" s="150"/>
      <c r="T179" s="150"/>
      <c r="U179" s="150"/>
      <c r="V179" s="150"/>
      <c r="W179" s="137">
        <f t="shared" si="9"/>
        <v>0</v>
      </c>
    </row>
    <row r="180" spans="1:23" s="119" customFormat="1" ht="25.5" x14ac:dyDescent="0.2">
      <c r="A180" s="146"/>
      <c r="B180" s="147" t="s">
        <v>571</v>
      </c>
      <c r="C180" s="148"/>
      <c r="D180" s="152"/>
      <c r="E180" s="152"/>
      <c r="F180" s="152"/>
      <c r="G180" s="150">
        <v>300</v>
      </c>
      <c r="H180" s="137">
        <f t="shared" si="6"/>
        <v>300</v>
      </c>
      <c r="I180" s="150"/>
      <c r="J180" s="150"/>
      <c r="K180" s="150"/>
      <c r="L180" s="150"/>
      <c r="M180" s="137">
        <f t="shared" si="7"/>
        <v>0</v>
      </c>
      <c r="N180" s="150"/>
      <c r="O180" s="150"/>
      <c r="P180" s="150"/>
      <c r="Q180" s="150"/>
      <c r="R180" s="137">
        <f t="shared" si="8"/>
        <v>0</v>
      </c>
      <c r="S180" s="150"/>
      <c r="T180" s="150"/>
      <c r="U180" s="150"/>
      <c r="V180" s="150"/>
      <c r="W180" s="137">
        <f t="shared" si="9"/>
        <v>0</v>
      </c>
    </row>
    <row r="181" spans="1:23" s="119" customFormat="1" ht="25.5" x14ac:dyDescent="0.2">
      <c r="A181" s="146"/>
      <c r="B181" s="147" t="s">
        <v>572</v>
      </c>
      <c r="C181" s="148"/>
      <c r="D181" s="152"/>
      <c r="E181" s="152"/>
      <c r="F181" s="152"/>
      <c r="G181" s="150">
        <v>50</v>
      </c>
      <c r="H181" s="137">
        <f t="shared" si="6"/>
        <v>50</v>
      </c>
      <c r="I181" s="150"/>
      <c r="J181" s="150"/>
      <c r="K181" s="150"/>
      <c r="L181" s="150"/>
      <c r="M181" s="137">
        <f t="shared" si="7"/>
        <v>0</v>
      </c>
      <c r="N181" s="150"/>
      <c r="O181" s="150"/>
      <c r="P181" s="150"/>
      <c r="Q181" s="150"/>
      <c r="R181" s="137">
        <f t="shared" si="8"/>
        <v>0</v>
      </c>
      <c r="S181" s="150"/>
      <c r="T181" s="150"/>
      <c r="U181" s="150"/>
      <c r="V181" s="150"/>
      <c r="W181" s="137">
        <f t="shared" si="9"/>
        <v>0</v>
      </c>
    </row>
    <row r="182" spans="1:23" s="119" customFormat="1" ht="38.25" x14ac:dyDescent="0.2">
      <c r="A182" s="146"/>
      <c r="B182" s="147" t="s">
        <v>573</v>
      </c>
      <c r="C182" s="148"/>
      <c r="D182" s="152"/>
      <c r="E182" s="152"/>
      <c r="F182" s="152">
        <v>136</v>
      </c>
      <c r="G182" s="150"/>
      <c r="H182" s="137">
        <f t="shared" si="6"/>
        <v>136</v>
      </c>
      <c r="I182" s="150"/>
      <c r="J182" s="150"/>
      <c r="K182" s="150"/>
      <c r="L182" s="150"/>
      <c r="M182" s="137">
        <f t="shared" si="7"/>
        <v>0</v>
      </c>
      <c r="N182" s="150"/>
      <c r="O182" s="150"/>
      <c r="P182" s="150"/>
      <c r="Q182" s="150"/>
      <c r="R182" s="137">
        <f t="shared" si="8"/>
        <v>0</v>
      </c>
      <c r="S182" s="150"/>
      <c r="T182" s="150"/>
      <c r="U182" s="150"/>
      <c r="V182" s="150"/>
      <c r="W182" s="137">
        <f t="shared" si="9"/>
        <v>0</v>
      </c>
    </row>
    <row r="183" spans="1:23" s="119" customFormat="1" ht="28.5" customHeight="1" x14ac:dyDescent="0.2">
      <c r="A183" s="146"/>
      <c r="B183" s="147" t="s">
        <v>574</v>
      </c>
      <c r="C183" s="148"/>
      <c r="D183" s="152"/>
      <c r="E183" s="152"/>
      <c r="F183" s="152">
        <v>40</v>
      </c>
      <c r="G183" s="150"/>
      <c r="H183" s="137">
        <f t="shared" si="6"/>
        <v>40</v>
      </c>
      <c r="I183" s="150"/>
      <c r="J183" s="150"/>
      <c r="K183" s="150"/>
      <c r="L183" s="150"/>
      <c r="M183" s="137">
        <f t="shared" si="7"/>
        <v>0</v>
      </c>
      <c r="N183" s="150"/>
      <c r="O183" s="150"/>
      <c r="P183" s="150"/>
      <c r="Q183" s="150"/>
      <c r="R183" s="137">
        <f t="shared" si="8"/>
        <v>0</v>
      </c>
      <c r="S183" s="150"/>
      <c r="T183" s="150"/>
      <c r="U183" s="150"/>
      <c r="V183" s="150"/>
      <c r="W183" s="137">
        <f t="shared" si="9"/>
        <v>0</v>
      </c>
    </row>
    <row r="184" spans="1:23" s="119" customFormat="1" ht="25.5" x14ac:dyDescent="0.2">
      <c r="A184" s="146"/>
      <c r="B184" s="147" t="s">
        <v>575</v>
      </c>
      <c r="C184" s="148"/>
      <c r="D184" s="152"/>
      <c r="E184" s="152"/>
      <c r="F184" s="152">
        <v>136</v>
      </c>
      <c r="G184" s="150"/>
      <c r="H184" s="137">
        <f t="shared" si="6"/>
        <v>136</v>
      </c>
      <c r="I184" s="150"/>
      <c r="J184" s="150"/>
      <c r="K184" s="150"/>
      <c r="L184" s="150">
        <v>100</v>
      </c>
      <c r="M184" s="137">
        <f t="shared" si="7"/>
        <v>100</v>
      </c>
      <c r="N184" s="150"/>
      <c r="O184" s="150"/>
      <c r="P184" s="150"/>
      <c r="Q184" s="150"/>
      <c r="R184" s="137">
        <f t="shared" si="8"/>
        <v>0</v>
      </c>
      <c r="S184" s="150"/>
      <c r="T184" s="150"/>
      <c r="U184" s="150"/>
      <c r="V184" s="150"/>
      <c r="W184" s="137">
        <f t="shared" si="9"/>
        <v>0</v>
      </c>
    </row>
    <row r="185" spans="1:23" s="119" customFormat="1" ht="25.5" x14ac:dyDescent="0.2">
      <c r="A185" s="146"/>
      <c r="B185" s="147" t="s">
        <v>576</v>
      </c>
      <c r="C185" s="148"/>
      <c r="D185" s="152"/>
      <c r="E185" s="152"/>
      <c r="F185" s="152"/>
      <c r="G185" s="150"/>
      <c r="H185" s="137">
        <f t="shared" si="6"/>
        <v>0</v>
      </c>
      <c r="I185" s="150"/>
      <c r="J185" s="150"/>
      <c r="K185" s="150">
        <v>50</v>
      </c>
      <c r="L185" s="150"/>
      <c r="M185" s="137">
        <f t="shared" si="7"/>
        <v>50</v>
      </c>
      <c r="N185" s="150"/>
      <c r="O185" s="150"/>
      <c r="P185" s="150"/>
      <c r="Q185" s="150"/>
      <c r="R185" s="137">
        <f t="shared" si="8"/>
        <v>0</v>
      </c>
      <c r="S185" s="150"/>
      <c r="T185" s="150"/>
      <c r="U185" s="150"/>
      <c r="V185" s="150"/>
      <c r="W185" s="137">
        <f t="shared" si="9"/>
        <v>0</v>
      </c>
    </row>
    <row r="186" spans="1:23" s="119" customFormat="1" ht="32.25" customHeight="1" x14ac:dyDescent="0.2">
      <c r="A186" s="146"/>
      <c r="B186" s="147" t="s">
        <v>577</v>
      </c>
      <c r="C186" s="148"/>
      <c r="D186" s="152"/>
      <c r="E186" s="152"/>
      <c r="F186" s="152"/>
      <c r="G186" s="150">
        <v>50</v>
      </c>
      <c r="H186" s="137">
        <f t="shared" si="6"/>
        <v>50</v>
      </c>
      <c r="I186" s="150"/>
      <c r="J186" s="150"/>
      <c r="K186" s="150"/>
      <c r="L186" s="150"/>
      <c r="M186" s="137">
        <f t="shared" si="7"/>
        <v>0</v>
      </c>
      <c r="N186" s="150"/>
      <c r="O186" s="150"/>
      <c r="P186" s="150"/>
      <c r="Q186" s="150"/>
      <c r="R186" s="137">
        <f t="shared" si="8"/>
        <v>0</v>
      </c>
      <c r="S186" s="150"/>
      <c r="T186" s="150"/>
      <c r="U186" s="150"/>
      <c r="V186" s="150"/>
      <c r="W186" s="137">
        <f t="shared" si="9"/>
        <v>0</v>
      </c>
    </row>
    <row r="187" spans="1:23" s="119" customFormat="1" ht="25.5" x14ac:dyDescent="0.2">
      <c r="A187" s="146"/>
      <c r="B187" s="147" t="s">
        <v>578</v>
      </c>
      <c r="C187" s="148"/>
      <c r="D187" s="152"/>
      <c r="E187" s="152"/>
      <c r="F187" s="152"/>
      <c r="G187" s="150"/>
      <c r="H187" s="137">
        <f t="shared" si="6"/>
        <v>0</v>
      </c>
      <c r="I187" s="150"/>
      <c r="J187" s="150"/>
      <c r="K187" s="150"/>
      <c r="L187" s="150"/>
      <c r="M187" s="137">
        <f t="shared" si="7"/>
        <v>0</v>
      </c>
      <c r="N187" s="150"/>
      <c r="O187" s="150"/>
      <c r="P187" s="150"/>
      <c r="Q187" s="150"/>
      <c r="R187" s="137">
        <f t="shared" si="8"/>
        <v>0</v>
      </c>
      <c r="S187" s="150"/>
      <c r="T187" s="150">
        <v>100</v>
      </c>
      <c r="U187" s="150"/>
      <c r="V187" s="150"/>
      <c r="W187" s="137">
        <f t="shared" si="9"/>
        <v>100</v>
      </c>
    </row>
    <row r="188" spans="1:23" s="119" customFormat="1" ht="25.5" x14ac:dyDescent="0.2">
      <c r="A188" s="146"/>
      <c r="B188" s="147" t="s">
        <v>579</v>
      </c>
      <c r="C188" s="148"/>
      <c r="D188" s="152"/>
      <c r="E188" s="152"/>
      <c r="F188" s="152"/>
      <c r="G188" s="150"/>
      <c r="H188" s="137">
        <f t="shared" si="6"/>
        <v>0</v>
      </c>
      <c r="I188" s="150"/>
      <c r="J188" s="150"/>
      <c r="K188" s="150"/>
      <c r="L188" s="150">
        <v>50</v>
      </c>
      <c r="M188" s="137">
        <f t="shared" si="7"/>
        <v>50</v>
      </c>
      <c r="N188" s="150"/>
      <c r="O188" s="150"/>
      <c r="P188" s="150"/>
      <c r="Q188" s="150"/>
      <c r="R188" s="137">
        <f t="shared" si="8"/>
        <v>0</v>
      </c>
      <c r="S188" s="150"/>
      <c r="T188" s="150"/>
      <c r="U188" s="150"/>
      <c r="V188" s="150"/>
      <c r="W188" s="137">
        <f t="shared" si="9"/>
        <v>0</v>
      </c>
    </row>
    <row r="189" spans="1:23" s="119" customFormat="1" ht="25.5" x14ac:dyDescent="0.2">
      <c r="A189" s="146"/>
      <c r="B189" s="147" t="s">
        <v>580</v>
      </c>
      <c r="C189" s="148"/>
      <c r="D189" s="152"/>
      <c r="E189" s="152"/>
      <c r="F189" s="152"/>
      <c r="G189" s="150"/>
      <c r="H189" s="137">
        <f t="shared" si="6"/>
        <v>0</v>
      </c>
      <c r="I189" s="150"/>
      <c r="J189" s="150"/>
      <c r="K189" s="150">
        <v>120</v>
      </c>
      <c r="L189" s="150"/>
      <c r="M189" s="137">
        <f t="shared" si="7"/>
        <v>120</v>
      </c>
      <c r="N189" s="150"/>
      <c r="O189" s="150"/>
      <c r="P189" s="150">
        <v>100</v>
      </c>
      <c r="Q189" s="150"/>
      <c r="R189" s="137">
        <f t="shared" si="8"/>
        <v>100</v>
      </c>
      <c r="S189" s="150"/>
      <c r="T189" s="150"/>
      <c r="U189" s="150"/>
      <c r="V189" s="150"/>
      <c r="W189" s="137">
        <f t="shared" si="9"/>
        <v>0</v>
      </c>
    </row>
    <row r="190" spans="1:23" s="119" customFormat="1" ht="25.5" x14ac:dyDescent="0.2">
      <c r="A190" s="146"/>
      <c r="B190" s="147" t="s">
        <v>581</v>
      </c>
      <c r="C190" s="148"/>
      <c r="D190" s="152"/>
      <c r="E190" s="152"/>
      <c r="F190" s="152"/>
      <c r="G190" s="150"/>
      <c r="H190" s="137">
        <f t="shared" si="6"/>
        <v>0</v>
      </c>
      <c r="I190" s="150">
        <v>50</v>
      </c>
      <c r="J190" s="150"/>
      <c r="K190" s="150"/>
      <c r="L190" s="150">
        <v>100</v>
      </c>
      <c r="M190" s="137">
        <f t="shared" si="7"/>
        <v>150</v>
      </c>
      <c r="N190" s="150"/>
      <c r="O190" s="150"/>
      <c r="P190" s="150"/>
      <c r="Q190" s="150"/>
      <c r="R190" s="137">
        <f t="shared" si="8"/>
        <v>0</v>
      </c>
      <c r="S190" s="150"/>
      <c r="T190" s="150"/>
      <c r="U190" s="150"/>
      <c r="V190" s="150"/>
      <c r="W190" s="137">
        <f t="shared" si="9"/>
        <v>0</v>
      </c>
    </row>
    <row r="191" spans="1:23" s="119" customFormat="1" ht="25.5" x14ac:dyDescent="0.2">
      <c r="A191" s="146"/>
      <c r="B191" s="147" t="s">
        <v>582</v>
      </c>
      <c r="C191" s="148"/>
      <c r="D191" s="152"/>
      <c r="E191" s="152"/>
      <c r="F191" s="152"/>
      <c r="G191" s="150"/>
      <c r="H191" s="137">
        <f t="shared" si="6"/>
        <v>0</v>
      </c>
      <c r="I191" s="150"/>
      <c r="J191" s="150"/>
      <c r="K191" s="150"/>
      <c r="L191" s="150"/>
      <c r="M191" s="137">
        <f t="shared" si="7"/>
        <v>0</v>
      </c>
      <c r="N191" s="150"/>
      <c r="O191" s="150"/>
      <c r="P191" s="150"/>
      <c r="Q191" s="150"/>
      <c r="R191" s="137">
        <f t="shared" si="8"/>
        <v>0</v>
      </c>
      <c r="S191" s="150"/>
      <c r="T191" s="150"/>
      <c r="U191" s="150"/>
      <c r="V191" s="150"/>
      <c r="W191" s="137">
        <f t="shared" si="9"/>
        <v>0</v>
      </c>
    </row>
    <row r="192" spans="1:23" s="119" customFormat="1" ht="25.5" x14ac:dyDescent="0.2">
      <c r="A192" s="146"/>
      <c r="B192" s="147" t="s">
        <v>583</v>
      </c>
      <c r="C192" s="148"/>
      <c r="D192" s="152"/>
      <c r="E192" s="152"/>
      <c r="F192" s="152"/>
      <c r="G192" s="150"/>
      <c r="H192" s="137">
        <f t="shared" si="6"/>
        <v>0</v>
      </c>
      <c r="I192" s="150"/>
      <c r="J192" s="150"/>
      <c r="K192" s="150"/>
      <c r="L192" s="150"/>
      <c r="M192" s="137">
        <f t="shared" si="7"/>
        <v>0</v>
      </c>
      <c r="N192" s="150"/>
      <c r="O192" s="150"/>
      <c r="P192" s="150"/>
      <c r="Q192" s="150"/>
      <c r="R192" s="137">
        <f t="shared" si="8"/>
        <v>0</v>
      </c>
      <c r="S192" s="150"/>
      <c r="T192" s="150"/>
      <c r="U192" s="150"/>
      <c r="V192" s="150"/>
      <c r="W192" s="137">
        <f t="shared" si="9"/>
        <v>0</v>
      </c>
    </row>
    <row r="193" spans="1:23" s="119" customFormat="1" ht="25.5" x14ac:dyDescent="0.2">
      <c r="A193" s="146"/>
      <c r="B193" s="147" t="s">
        <v>584</v>
      </c>
      <c r="C193" s="148"/>
      <c r="D193" s="152">
        <v>85</v>
      </c>
      <c r="E193" s="152"/>
      <c r="F193" s="152"/>
      <c r="G193" s="150"/>
      <c r="H193" s="137">
        <f t="shared" si="6"/>
        <v>85</v>
      </c>
      <c r="I193" s="150"/>
      <c r="J193" s="150"/>
      <c r="K193" s="150"/>
      <c r="L193" s="150"/>
      <c r="M193" s="137">
        <f t="shared" si="7"/>
        <v>0</v>
      </c>
      <c r="N193" s="150"/>
      <c r="O193" s="150"/>
      <c r="P193" s="150"/>
      <c r="Q193" s="150"/>
      <c r="R193" s="137">
        <f t="shared" si="8"/>
        <v>0</v>
      </c>
      <c r="S193" s="150"/>
      <c r="T193" s="150"/>
      <c r="U193" s="150"/>
      <c r="V193" s="150"/>
      <c r="W193" s="137">
        <f t="shared" si="9"/>
        <v>0</v>
      </c>
    </row>
    <row r="194" spans="1:23" s="119" customFormat="1" ht="25.5" x14ac:dyDescent="0.2">
      <c r="A194" s="146"/>
      <c r="B194" s="147" t="s">
        <v>585</v>
      </c>
      <c r="C194" s="148"/>
      <c r="D194" s="152">
        <v>85</v>
      </c>
      <c r="E194" s="152"/>
      <c r="F194" s="152"/>
      <c r="G194" s="150"/>
      <c r="H194" s="137">
        <f t="shared" si="6"/>
        <v>85</v>
      </c>
      <c r="I194" s="150"/>
      <c r="J194" s="150"/>
      <c r="K194" s="150"/>
      <c r="L194" s="150"/>
      <c r="M194" s="137">
        <f t="shared" si="7"/>
        <v>0</v>
      </c>
      <c r="N194" s="150"/>
      <c r="O194" s="150"/>
      <c r="P194" s="150"/>
      <c r="Q194" s="150"/>
      <c r="R194" s="137">
        <f t="shared" si="8"/>
        <v>0</v>
      </c>
      <c r="S194" s="150"/>
      <c r="T194" s="150"/>
      <c r="U194" s="150"/>
      <c r="V194" s="150"/>
      <c r="W194" s="137">
        <f t="shared" si="9"/>
        <v>0</v>
      </c>
    </row>
    <row r="195" spans="1:23" s="119" customFormat="1" ht="12.75" x14ac:dyDescent="0.2">
      <c r="A195" s="146"/>
      <c r="B195" s="147" t="s">
        <v>586</v>
      </c>
      <c r="C195" s="148"/>
      <c r="D195" s="152"/>
      <c r="E195" s="152"/>
      <c r="F195" s="152"/>
      <c r="G195" s="150">
        <v>40</v>
      </c>
      <c r="H195" s="137">
        <f t="shared" si="6"/>
        <v>40</v>
      </c>
      <c r="I195" s="150"/>
      <c r="J195" s="150"/>
      <c r="K195" s="150"/>
      <c r="L195" s="150"/>
      <c r="M195" s="137">
        <f t="shared" si="7"/>
        <v>0</v>
      </c>
      <c r="N195" s="150"/>
      <c r="O195" s="150"/>
      <c r="P195" s="150"/>
      <c r="Q195" s="150"/>
      <c r="R195" s="137">
        <f t="shared" si="8"/>
        <v>0</v>
      </c>
      <c r="S195" s="150"/>
      <c r="T195" s="150"/>
      <c r="U195" s="150"/>
      <c r="V195" s="150"/>
      <c r="W195" s="137">
        <f t="shared" si="9"/>
        <v>0</v>
      </c>
    </row>
    <row r="196" spans="1:23" s="119" customFormat="1" ht="25.5" x14ac:dyDescent="0.2">
      <c r="A196" s="146"/>
      <c r="B196" s="147" t="s">
        <v>587</v>
      </c>
      <c r="C196" s="148"/>
      <c r="D196" s="152">
        <v>85</v>
      </c>
      <c r="E196" s="152"/>
      <c r="F196" s="152"/>
      <c r="G196" s="150"/>
      <c r="H196" s="137">
        <f t="shared" si="6"/>
        <v>85</v>
      </c>
      <c r="I196" s="150"/>
      <c r="J196" s="150"/>
      <c r="K196" s="150"/>
      <c r="L196" s="150"/>
      <c r="M196" s="137">
        <f t="shared" si="7"/>
        <v>0</v>
      </c>
      <c r="N196" s="150"/>
      <c r="O196" s="150"/>
      <c r="P196" s="150"/>
      <c r="Q196" s="150"/>
      <c r="R196" s="137">
        <f t="shared" si="8"/>
        <v>0</v>
      </c>
      <c r="S196" s="150"/>
      <c r="T196" s="150"/>
      <c r="U196" s="150"/>
      <c r="V196" s="150"/>
      <c r="W196" s="137">
        <f t="shared" si="9"/>
        <v>0</v>
      </c>
    </row>
    <row r="197" spans="1:23" s="119" customFormat="1" ht="38.25" x14ac:dyDescent="0.2">
      <c r="A197" s="146"/>
      <c r="B197" s="147" t="s">
        <v>588</v>
      </c>
      <c r="C197" s="148"/>
      <c r="D197" s="152">
        <v>85</v>
      </c>
      <c r="E197" s="152"/>
      <c r="F197" s="152"/>
      <c r="G197" s="150"/>
      <c r="H197" s="137">
        <f t="shared" si="6"/>
        <v>85</v>
      </c>
      <c r="I197" s="150"/>
      <c r="J197" s="150"/>
      <c r="K197" s="150"/>
      <c r="L197" s="150"/>
      <c r="M197" s="137">
        <f t="shared" si="7"/>
        <v>0</v>
      </c>
      <c r="N197" s="150"/>
      <c r="O197" s="150"/>
      <c r="P197" s="150"/>
      <c r="Q197" s="150"/>
      <c r="R197" s="137">
        <f t="shared" si="8"/>
        <v>0</v>
      </c>
      <c r="S197" s="150"/>
      <c r="T197" s="150"/>
      <c r="U197" s="150"/>
      <c r="V197" s="150"/>
      <c r="W197" s="137">
        <f t="shared" si="9"/>
        <v>0</v>
      </c>
    </row>
    <row r="198" spans="1:23" s="119" customFormat="1" ht="25.5" x14ac:dyDescent="0.2">
      <c r="A198" s="146"/>
      <c r="B198" s="147" t="s">
        <v>589</v>
      </c>
      <c r="C198" s="148"/>
      <c r="D198" s="152"/>
      <c r="E198" s="152"/>
      <c r="F198" s="152"/>
      <c r="G198" s="150"/>
      <c r="H198" s="137">
        <f t="shared" si="6"/>
        <v>0</v>
      </c>
      <c r="I198" s="150"/>
      <c r="J198" s="150"/>
      <c r="K198" s="150"/>
      <c r="L198" s="150"/>
      <c r="M198" s="137">
        <f t="shared" si="7"/>
        <v>0</v>
      </c>
      <c r="N198" s="150"/>
      <c r="O198" s="150"/>
      <c r="P198" s="150"/>
      <c r="Q198" s="150"/>
      <c r="R198" s="137">
        <f t="shared" si="8"/>
        <v>0</v>
      </c>
      <c r="S198" s="150"/>
      <c r="T198" s="150"/>
      <c r="U198" s="150"/>
      <c r="V198" s="150"/>
      <c r="W198" s="137">
        <f t="shared" si="9"/>
        <v>0</v>
      </c>
    </row>
    <row r="199" spans="1:23" s="119" customFormat="1" ht="51" x14ac:dyDescent="0.2">
      <c r="A199" s="146"/>
      <c r="B199" s="147" t="s">
        <v>590</v>
      </c>
      <c r="C199" s="148"/>
      <c r="D199" s="152"/>
      <c r="E199" s="152"/>
      <c r="F199" s="152">
        <v>375</v>
      </c>
      <c r="G199" s="150"/>
      <c r="H199" s="137">
        <f t="shared" si="6"/>
        <v>375</v>
      </c>
      <c r="I199" s="150"/>
      <c r="J199" s="150"/>
      <c r="K199" s="150"/>
      <c r="L199" s="150"/>
      <c r="M199" s="137">
        <f t="shared" si="7"/>
        <v>0</v>
      </c>
      <c r="N199" s="150"/>
      <c r="O199" s="150"/>
      <c r="P199" s="150"/>
      <c r="Q199" s="150"/>
      <c r="R199" s="137">
        <f t="shared" si="8"/>
        <v>0</v>
      </c>
      <c r="S199" s="150"/>
      <c r="T199" s="150"/>
      <c r="U199" s="150"/>
      <c r="V199" s="150"/>
      <c r="W199" s="137">
        <f t="shared" si="9"/>
        <v>0</v>
      </c>
    </row>
    <row r="200" spans="1:23" s="119" customFormat="1" ht="25.5" x14ac:dyDescent="0.2">
      <c r="A200" s="146"/>
      <c r="B200" s="147" t="s">
        <v>591</v>
      </c>
      <c r="C200" s="148"/>
      <c r="D200" s="152"/>
      <c r="E200" s="152"/>
      <c r="F200" s="152"/>
      <c r="G200" s="150">
        <v>40</v>
      </c>
      <c r="H200" s="137">
        <f t="shared" si="6"/>
        <v>40</v>
      </c>
      <c r="I200" s="150"/>
      <c r="J200" s="150"/>
      <c r="K200" s="150"/>
      <c r="L200" s="150"/>
      <c r="M200" s="137">
        <f t="shared" si="7"/>
        <v>0</v>
      </c>
      <c r="N200" s="150"/>
      <c r="O200" s="150"/>
      <c r="P200" s="150"/>
      <c r="Q200" s="150"/>
      <c r="R200" s="137">
        <f t="shared" si="8"/>
        <v>0</v>
      </c>
      <c r="S200" s="150"/>
      <c r="T200" s="150"/>
      <c r="U200" s="150"/>
      <c r="V200" s="150"/>
      <c r="W200" s="137">
        <f t="shared" si="9"/>
        <v>0</v>
      </c>
    </row>
    <row r="201" spans="1:23" s="119" customFormat="1" ht="25.5" x14ac:dyDescent="0.2">
      <c r="A201" s="146"/>
      <c r="B201" s="147" t="s">
        <v>592</v>
      </c>
      <c r="C201" s="148"/>
      <c r="D201" s="152"/>
      <c r="E201" s="152"/>
      <c r="F201" s="152"/>
      <c r="G201" s="150">
        <v>40</v>
      </c>
      <c r="H201" s="137">
        <f t="shared" si="6"/>
        <v>40</v>
      </c>
      <c r="I201" s="150"/>
      <c r="J201" s="150"/>
      <c r="K201" s="150"/>
      <c r="L201" s="150"/>
      <c r="M201" s="137">
        <f t="shared" si="7"/>
        <v>0</v>
      </c>
      <c r="N201" s="150"/>
      <c r="O201" s="150"/>
      <c r="P201" s="150"/>
      <c r="Q201" s="150"/>
      <c r="R201" s="137">
        <f t="shared" si="8"/>
        <v>0</v>
      </c>
      <c r="S201" s="150"/>
      <c r="T201" s="150"/>
      <c r="U201" s="150"/>
      <c r="V201" s="150"/>
      <c r="W201" s="137">
        <f t="shared" si="9"/>
        <v>0</v>
      </c>
    </row>
    <row r="202" spans="1:23" s="119" customFormat="1" ht="25.5" x14ac:dyDescent="0.2">
      <c r="A202" s="146"/>
      <c r="B202" s="147" t="s">
        <v>593</v>
      </c>
      <c r="C202" s="148"/>
      <c r="D202" s="152"/>
      <c r="E202" s="152"/>
      <c r="F202" s="152"/>
      <c r="G202" s="150"/>
      <c r="H202" s="137">
        <f t="shared" si="6"/>
        <v>0</v>
      </c>
      <c r="I202" s="150"/>
      <c r="J202" s="150"/>
      <c r="K202" s="150"/>
      <c r="L202" s="150">
        <v>300</v>
      </c>
      <c r="M202" s="137">
        <f t="shared" si="7"/>
        <v>300</v>
      </c>
      <c r="N202" s="150"/>
      <c r="O202" s="150"/>
      <c r="P202" s="150"/>
      <c r="Q202" s="150"/>
      <c r="R202" s="137">
        <f t="shared" si="8"/>
        <v>0</v>
      </c>
      <c r="S202" s="150"/>
      <c r="T202" s="150"/>
      <c r="U202" s="150"/>
      <c r="V202" s="150"/>
      <c r="W202" s="137">
        <f t="shared" si="9"/>
        <v>0</v>
      </c>
    </row>
    <row r="203" spans="1:23" s="119" customFormat="1" ht="25.5" x14ac:dyDescent="0.2">
      <c r="A203" s="146"/>
      <c r="B203" s="147" t="s">
        <v>594</v>
      </c>
      <c r="C203" s="148"/>
      <c r="D203" s="152"/>
      <c r="E203" s="152"/>
      <c r="F203" s="152"/>
      <c r="G203" s="150"/>
      <c r="H203" s="137">
        <f t="shared" si="6"/>
        <v>0</v>
      </c>
      <c r="I203" s="150"/>
      <c r="J203" s="150">
        <v>300</v>
      </c>
      <c r="K203" s="150"/>
      <c r="L203" s="150"/>
      <c r="M203" s="137">
        <f t="shared" si="7"/>
        <v>300</v>
      </c>
      <c r="N203" s="150"/>
      <c r="O203" s="150"/>
      <c r="P203" s="150"/>
      <c r="Q203" s="150"/>
      <c r="R203" s="137">
        <f t="shared" si="8"/>
        <v>0</v>
      </c>
      <c r="S203" s="150"/>
      <c r="T203" s="150"/>
      <c r="U203" s="150"/>
      <c r="V203" s="150"/>
      <c r="W203" s="137">
        <f t="shared" si="9"/>
        <v>0</v>
      </c>
    </row>
    <row r="204" spans="1:23" s="119" customFormat="1" ht="25.5" x14ac:dyDescent="0.2">
      <c r="A204" s="146"/>
      <c r="B204" s="147" t="s">
        <v>595</v>
      </c>
      <c r="C204" s="148"/>
      <c r="D204" s="152"/>
      <c r="E204" s="152"/>
      <c r="F204" s="152"/>
      <c r="G204" s="150">
        <v>30</v>
      </c>
      <c r="H204" s="137">
        <f t="shared" si="6"/>
        <v>30</v>
      </c>
      <c r="I204" s="150"/>
      <c r="J204" s="150"/>
      <c r="K204" s="150"/>
      <c r="L204" s="150"/>
      <c r="M204" s="137">
        <f t="shared" si="7"/>
        <v>0</v>
      </c>
      <c r="N204" s="150"/>
      <c r="O204" s="150"/>
      <c r="P204" s="150"/>
      <c r="Q204" s="150"/>
      <c r="R204" s="137">
        <f t="shared" si="8"/>
        <v>0</v>
      </c>
      <c r="S204" s="150"/>
      <c r="T204" s="150"/>
      <c r="U204" s="150"/>
      <c r="V204" s="150"/>
      <c r="W204" s="137">
        <f t="shared" si="9"/>
        <v>0</v>
      </c>
    </row>
    <row r="205" spans="1:23" s="119" customFormat="1" ht="25.5" x14ac:dyDescent="0.2">
      <c r="A205" s="146"/>
      <c r="B205" s="147" t="s">
        <v>595</v>
      </c>
      <c r="C205" s="148"/>
      <c r="D205" s="152"/>
      <c r="E205" s="152"/>
      <c r="F205" s="152"/>
      <c r="G205" s="150">
        <v>50</v>
      </c>
      <c r="H205" s="137">
        <f t="shared" si="6"/>
        <v>50</v>
      </c>
      <c r="I205" s="150"/>
      <c r="J205" s="150"/>
      <c r="K205" s="150"/>
      <c r="L205" s="150"/>
      <c r="M205" s="137">
        <f t="shared" si="7"/>
        <v>0</v>
      </c>
      <c r="N205" s="150"/>
      <c r="O205" s="150"/>
      <c r="P205" s="150"/>
      <c r="Q205" s="150"/>
      <c r="R205" s="137">
        <f t="shared" si="8"/>
        <v>0</v>
      </c>
      <c r="S205" s="150"/>
      <c r="T205" s="150"/>
      <c r="U205" s="150"/>
      <c r="V205" s="150"/>
      <c r="W205" s="137">
        <f t="shared" si="9"/>
        <v>0</v>
      </c>
    </row>
    <row r="206" spans="1:23" s="119" customFormat="1" ht="25.5" x14ac:dyDescent="0.2">
      <c r="A206" s="146"/>
      <c r="B206" s="147" t="s">
        <v>596</v>
      </c>
      <c r="C206" s="148"/>
      <c r="D206" s="152"/>
      <c r="E206" s="152">
        <v>100</v>
      </c>
      <c r="F206" s="152"/>
      <c r="G206" s="150"/>
      <c r="H206" s="137">
        <f t="shared" si="6"/>
        <v>100</v>
      </c>
      <c r="I206" s="150"/>
      <c r="J206" s="150"/>
      <c r="K206" s="150"/>
      <c r="L206" s="150">
        <v>120</v>
      </c>
      <c r="M206" s="137">
        <f t="shared" si="7"/>
        <v>120</v>
      </c>
      <c r="N206" s="150"/>
      <c r="O206" s="150"/>
      <c r="P206" s="150"/>
      <c r="Q206" s="150"/>
      <c r="R206" s="137">
        <f t="shared" si="8"/>
        <v>0</v>
      </c>
      <c r="S206" s="150"/>
      <c r="T206" s="150"/>
      <c r="U206" s="150"/>
      <c r="V206" s="150"/>
      <c r="W206" s="137">
        <f t="shared" si="9"/>
        <v>0</v>
      </c>
    </row>
    <row r="207" spans="1:23" s="119" customFormat="1" ht="25.5" x14ac:dyDescent="0.2">
      <c r="A207" s="146"/>
      <c r="B207" s="147" t="s">
        <v>597</v>
      </c>
      <c r="C207" s="148"/>
      <c r="D207" s="152"/>
      <c r="E207" s="152"/>
      <c r="F207" s="152"/>
      <c r="G207" s="150"/>
      <c r="H207" s="137">
        <f t="shared" si="6"/>
        <v>0</v>
      </c>
      <c r="I207" s="150"/>
      <c r="J207" s="150"/>
      <c r="K207" s="150"/>
      <c r="L207" s="150">
        <v>25</v>
      </c>
      <c r="M207" s="137">
        <f t="shared" si="7"/>
        <v>25</v>
      </c>
      <c r="N207" s="150"/>
      <c r="O207" s="150"/>
      <c r="P207" s="150"/>
      <c r="Q207" s="150"/>
      <c r="R207" s="137">
        <f t="shared" si="8"/>
        <v>0</v>
      </c>
      <c r="S207" s="150"/>
      <c r="T207" s="150"/>
      <c r="U207" s="150"/>
      <c r="V207" s="150"/>
      <c r="W207" s="137">
        <f t="shared" si="9"/>
        <v>0</v>
      </c>
    </row>
    <row r="208" spans="1:23" s="119" customFormat="1" ht="25.5" x14ac:dyDescent="0.2">
      <c r="A208" s="146"/>
      <c r="B208" s="147" t="s">
        <v>598</v>
      </c>
      <c r="C208" s="148"/>
      <c r="D208" s="152"/>
      <c r="E208" s="152"/>
      <c r="F208" s="152"/>
      <c r="G208" s="150">
        <v>40</v>
      </c>
      <c r="H208" s="137">
        <f t="shared" si="6"/>
        <v>40</v>
      </c>
      <c r="I208" s="150"/>
      <c r="J208" s="150"/>
      <c r="K208" s="150"/>
      <c r="L208" s="150">
        <v>40</v>
      </c>
      <c r="M208" s="137">
        <f t="shared" si="7"/>
        <v>40</v>
      </c>
      <c r="N208" s="150"/>
      <c r="O208" s="150"/>
      <c r="P208" s="150"/>
      <c r="Q208" s="150"/>
      <c r="R208" s="137">
        <f t="shared" si="8"/>
        <v>0</v>
      </c>
      <c r="S208" s="150"/>
      <c r="T208" s="150"/>
      <c r="U208" s="150"/>
      <c r="V208" s="150"/>
      <c r="W208" s="137">
        <f t="shared" si="9"/>
        <v>0</v>
      </c>
    </row>
    <row r="209" spans="1:23" s="119" customFormat="1" ht="25.5" x14ac:dyDescent="0.2">
      <c r="A209" s="146"/>
      <c r="B209" s="147" t="s">
        <v>599</v>
      </c>
      <c r="C209" s="148"/>
      <c r="D209" s="152"/>
      <c r="E209" s="152"/>
      <c r="F209" s="152"/>
      <c r="G209" s="150"/>
      <c r="H209" s="137">
        <f t="shared" si="6"/>
        <v>0</v>
      </c>
      <c r="I209" s="150"/>
      <c r="J209" s="150"/>
      <c r="K209" s="150"/>
      <c r="L209" s="150">
        <v>150</v>
      </c>
      <c r="M209" s="137">
        <f t="shared" si="7"/>
        <v>150</v>
      </c>
      <c r="N209" s="150"/>
      <c r="O209" s="150"/>
      <c r="P209" s="150"/>
      <c r="Q209" s="150"/>
      <c r="R209" s="137">
        <f t="shared" si="8"/>
        <v>0</v>
      </c>
      <c r="S209" s="150"/>
      <c r="T209" s="150">
        <v>150</v>
      </c>
      <c r="U209" s="150"/>
      <c r="V209" s="150"/>
      <c r="W209" s="137">
        <f t="shared" si="9"/>
        <v>150</v>
      </c>
    </row>
    <row r="210" spans="1:23" s="119" customFormat="1" ht="25.5" x14ac:dyDescent="0.2">
      <c r="A210" s="146"/>
      <c r="B210" s="147" t="s">
        <v>600</v>
      </c>
      <c r="C210" s="148"/>
      <c r="D210" s="152"/>
      <c r="E210" s="152"/>
      <c r="F210" s="152"/>
      <c r="G210" s="150">
        <v>30</v>
      </c>
      <c r="H210" s="137">
        <f t="shared" si="6"/>
        <v>30</v>
      </c>
      <c r="I210" s="150"/>
      <c r="J210" s="150"/>
      <c r="K210" s="150"/>
      <c r="L210" s="150"/>
      <c r="M210" s="137">
        <f t="shared" si="7"/>
        <v>0</v>
      </c>
      <c r="N210" s="150"/>
      <c r="O210" s="150"/>
      <c r="P210" s="150"/>
      <c r="Q210" s="150"/>
      <c r="R210" s="137">
        <f t="shared" si="8"/>
        <v>0</v>
      </c>
      <c r="S210" s="150"/>
      <c r="T210" s="150"/>
      <c r="U210" s="150"/>
      <c r="V210" s="150"/>
      <c r="W210" s="137">
        <f t="shared" si="9"/>
        <v>0</v>
      </c>
    </row>
    <row r="211" spans="1:23" s="119" customFormat="1" ht="25.5" x14ac:dyDescent="0.2">
      <c r="A211" s="146"/>
      <c r="B211" s="147" t="s">
        <v>600</v>
      </c>
      <c r="C211" s="148"/>
      <c r="D211" s="152"/>
      <c r="E211" s="152"/>
      <c r="F211" s="152"/>
      <c r="G211" s="150">
        <v>40</v>
      </c>
      <c r="H211" s="137">
        <f t="shared" si="6"/>
        <v>40</v>
      </c>
      <c r="I211" s="150"/>
      <c r="J211" s="150"/>
      <c r="K211" s="150"/>
      <c r="L211" s="150"/>
      <c r="M211" s="137">
        <f t="shared" si="7"/>
        <v>0</v>
      </c>
      <c r="N211" s="150"/>
      <c r="O211" s="150"/>
      <c r="P211" s="150"/>
      <c r="Q211" s="150"/>
      <c r="R211" s="137">
        <f t="shared" si="8"/>
        <v>0</v>
      </c>
      <c r="S211" s="150"/>
      <c r="T211" s="150"/>
      <c r="U211" s="150"/>
      <c r="V211" s="150"/>
      <c r="W211" s="137">
        <f t="shared" si="9"/>
        <v>0</v>
      </c>
    </row>
    <row r="212" spans="1:23" s="119" customFormat="1" ht="12.75" x14ac:dyDescent="0.2">
      <c r="A212" s="146"/>
      <c r="B212" s="147" t="s">
        <v>601</v>
      </c>
      <c r="C212" s="148"/>
      <c r="D212" s="152"/>
      <c r="E212" s="152"/>
      <c r="F212" s="152"/>
      <c r="G212" s="150">
        <v>120</v>
      </c>
      <c r="H212" s="137">
        <f t="shared" si="6"/>
        <v>120</v>
      </c>
      <c r="I212" s="150"/>
      <c r="J212" s="150"/>
      <c r="K212" s="150"/>
      <c r="L212" s="150"/>
      <c r="M212" s="137">
        <f t="shared" si="7"/>
        <v>0</v>
      </c>
      <c r="N212" s="150"/>
      <c r="O212" s="150"/>
      <c r="P212" s="150"/>
      <c r="Q212" s="150"/>
      <c r="R212" s="137">
        <f t="shared" si="8"/>
        <v>0</v>
      </c>
      <c r="S212" s="150">
        <v>126</v>
      </c>
      <c r="T212" s="150"/>
      <c r="U212" s="150"/>
      <c r="V212" s="150"/>
      <c r="W212" s="137">
        <f t="shared" si="9"/>
        <v>126</v>
      </c>
    </row>
    <row r="213" spans="1:23" s="119" customFormat="1" ht="12.75" x14ac:dyDescent="0.2">
      <c r="A213" s="146"/>
      <c r="B213" s="147" t="s">
        <v>602</v>
      </c>
      <c r="C213" s="148"/>
      <c r="D213" s="152"/>
      <c r="E213" s="152"/>
      <c r="F213" s="152"/>
      <c r="G213" s="150">
        <v>30</v>
      </c>
      <c r="H213" s="137">
        <f t="shared" si="6"/>
        <v>30</v>
      </c>
      <c r="I213" s="150"/>
      <c r="J213" s="150"/>
      <c r="K213" s="150"/>
      <c r="L213" s="150"/>
      <c r="M213" s="137">
        <f t="shared" si="7"/>
        <v>0</v>
      </c>
      <c r="N213" s="150"/>
      <c r="O213" s="150"/>
      <c r="P213" s="150"/>
      <c r="Q213" s="150"/>
      <c r="R213" s="137">
        <f t="shared" si="8"/>
        <v>0</v>
      </c>
      <c r="S213" s="150"/>
      <c r="T213" s="150"/>
      <c r="U213" s="150"/>
      <c r="V213" s="150"/>
      <c r="W213" s="137">
        <f t="shared" si="9"/>
        <v>0</v>
      </c>
    </row>
    <row r="214" spans="1:23" s="119" customFormat="1" ht="12.75" x14ac:dyDescent="0.2">
      <c r="A214" s="146"/>
      <c r="B214" s="147" t="s">
        <v>603</v>
      </c>
      <c r="C214" s="148"/>
      <c r="D214" s="152"/>
      <c r="E214" s="152"/>
      <c r="F214" s="152"/>
      <c r="G214" s="150"/>
      <c r="H214" s="137">
        <f t="shared" si="6"/>
        <v>0</v>
      </c>
      <c r="I214" s="150"/>
      <c r="J214" s="150"/>
      <c r="K214" s="150"/>
      <c r="L214" s="150"/>
      <c r="M214" s="137">
        <f t="shared" si="7"/>
        <v>0</v>
      </c>
      <c r="N214" s="150"/>
      <c r="O214" s="150"/>
      <c r="P214" s="150">
        <v>30</v>
      </c>
      <c r="Q214" s="150"/>
      <c r="R214" s="137">
        <f t="shared" si="8"/>
        <v>30</v>
      </c>
      <c r="S214" s="150"/>
      <c r="T214" s="150"/>
      <c r="U214" s="150"/>
      <c r="V214" s="150"/>
      <c r="W214" s="137">
        <f t="shared" si="9"/>
        <v>0</v>
      </c>
    </row>
    <row r="215" spans="1:23" s="119" customFormat="1" ht="25.5" x14ac:dyDescent="0.2">
      <c r="A215" s="146"/>
      <c r="B215" s="147" t="s">
        <v>604</v>
      </c>
      <c r="C215" s="148"/>
      <c r="D215" s="152"/>
      <c r="E215" s="152"/>
      <c r="F215" s="152"/>
      <c r="G215" s="150">
        <v>75</v>
      </c>
      <c r="H215" s="137">
        <f t="shared" si="6"/>
        <v>75</v>
      </c>
      <c r="I215" s="150"/>
      <c r="J215" s="150"/>
      <c r="K215" s="150"/>
      <c r="L215" s="150"/>
      <c r="M215" s="137">
        <f t="shared" si="7"/>
        <v>0</v>
      </c>
      <c r="N215" s="150"/>
      <c r="O215" s="150"/>
      <c r="P215" s="150"/>
      <c r="Q215" s="150"/>
      <c r="R215" s="137">
        <f t="shared" si="8"/>
        <v>0</v>
      </c>
      <c r="S215" s="150"/>
      <c r="T215" s="150"/>
      <c r="U215" s="150"/>
      <c r="V215" s="150"/>
      <c r="W215" s="137">
        <f t="shared" si="9"/>
        <v>0</v>
      </c>
    </row>
    <row r="216" spans="1:23" s="119" customFormat="1" ht="12.75" x14ac:dyDescent="0.2">
      <c r="A216" s="146"/>
      <c r="B216" s="147" t="s">
        <v>605</v>
      </c>
      <c r="C216" s="148"/>
      <c r="D216" s="152"/>
      <c r="E216" s="152"/>
      <c r="F216" s="152"/>
      <c r="G216" s="150">
        <v>30</v>
      </c>
      <c r="H216" s="137">
        <f t="shared" si="6"/>
        <v>30</v>
      </c>
      <c r="I216" s="150"/>
      <c r="J216" s="150"/>
      <c r="K216" s="150"/>
      <c r="L216" s="150"/>
      <c r="M216" s="137">
        <f t="shared" si="7"/>
        <v>0</v>
      </c>
      <c r="N216" s="150"/>
      <c r="O216" s="150"/>
      <c r="P216" s="150"/>
      <c r="Q216" s="150"/>
      <c r="R216" s="137">
        <f t="shared" si="8"/>
        <v>0</v>
      </c>
      <c r="S216" s="150"/>
      <c r="T216" s="150"/>
      <c r="U216" s="150"/>
      <c r="V216" s="150"/>
      <c r="W216" s="137">
        <f t="shared" si="9"/>
        <v>0</v>
      </c>
    </row>
    <row r="217" spans="1:23" s="119" customFormat="1" ht="25.5" x14ac:dyDescent="0.2">
      <c r="A217" s="146"/>
      <c r="B217" s="147" t="s">
        <v>606</v>
      </c>
      <c r="C217" s="148"/>
      <c r="D217" s="152"/>
      <c r="E217" s="152"/>
      <c r="F217" s="152"/>
      <c r="G217" s="150">
        <v>15</v>
      </c>
      <c r="H217" s="137">
        <f t="shared" si="6"/>
        <v>15</v>
      </c>
      <c r="I217" s="150"/>
      <c r="J217" s="150"/>
      <c r="K217" s="150"/>
      <c r="L217" s="150"/>
      <c r="M217" s="137">
        <f t="shared" si="7"/>
        <v>0</v>
      </c>
      <c r="N217" s="150"/>
      <c r="O217" s="150"/>
      <c r="P217" s="150"/>
      <c r="Q217" s="150"/>
      <c r="R217" s="137">
        <f t="shared" si="8"/>
        <v>0</v>
      </c>
      <c r="S217" s="150"/>
      <c r="T217" s="150"/>
      <c r="U217" s="150"/>
      <c r="V217" s="150"/>
      <c r="W217" s="137">
        <f t="shared" si="9"/>
        <v>0</v>
      </c>
    </row>
    <row r="218" spans="1:23" s="119" customFormat="1" ht="38.25" x14ac:dyDescent="0.2">
      <c r="A218" s="146"/>
      <c r="B218" s="147" t="s">
        <v>607</v>
      </c>
      <c r="C218" s="148"/>
      <c r="D218" s="152"/>
      <c r="E218" s="152"/>
      <c r="F218" s="152"/>
      <c r="G218" s="150">
        <v>30</v>
      </c>
      <c r="H218" s="137">
        <f t="shared" si="6"/>
        <v>30</v>
      </c>
      <c r="I218" s="150"/>
      <c r="J218" s="150"/>
      <c r="K218" s="150"/>
      <c r="L218" s="150"/>
      <c r="M218" s="137">
        <f t="shared" si="7"/>
        <v>0</v>
      </c>
      <c r="N218" s="150"/>
      <c r="O218" s="150"/>
      <c r="P218" s="150">
        <v>30</v>
      </c>
      <c r="Q218" s="150"/>
      <c r="R218" s="137">
        <f t="shared" si="8"/>
        <v>30</v>
      </c>
      <c r="S218" s="150"/>
      <c r="T218" s="150"/>
      <c r="U218" s="150"/>
      <c r="V218" s="150"/>
      <c r="W218" s="137">
        <f t="shared" si="9"/>
        <v>0</v>
      </c>
    </row>
    <row r="219" spans="1:23" s="119" customFormat="1" ht="38.25" x14ac:dyDescent="0.2">
      <c r="A219" s="146"/>
      <c r="B219" s="147" t="s">
        <v>608</v>
      </c>
      <c r="C219" s="148"/>
      <c r="D219" s="152"/>
      <c r="E219" s="152"/>
      <c r="F219" s="152"/>
      <c r="G219" s="150"/>
      <c r="H219" s="137">
        <f t="shared" si="6"/>
        <v>0</v>
      </c>
      <c r="I219" s="150"/>
      <c r="J219" s="150"/>
      <c r="K219" s="150">
        <v>75</v>
      </c>
      <c r="L219" s="150"/>
      <c r="M219" s="137">
        <f t="shared" si="7"/>
        <v>75</v>
      </c>
      <c r="N219" s="150"/>
      <c r="O219" s="150"/>
      <c r="P219" s="150"/>
      <c r="Q219" s="150"/>
      <c r="R219" s="137">
        <f t="shared" si="8"/>
        <v>0</v>
      </c>
      <c r="S219" s="150"/>
      <c r="T219" s="150"/>
      <c r="U219" s="150"/>
      <c r="V219" s="150"/>
      <c r="W219" s="137">
        <f t="shared" si="9"/>
        <v>0</v>
      </c>
    </row>
    <row r="220" spans="1:23" s="119" customFormat="1" ht="25.5" x14ac:dyDescent="0.2">
      <c r="A220" s="146"/>
      <c r="B220" s="147" t="s">
        <v>609</v>
      </c>
      <c r="C220" s="148"/>
      <c r="D220" s="152"/>
      <c r="E220" s="152"/>
      <c r="F220" s="152"/>
      <c r="G220" s="150"/>
      <c r="H220" s="137">
        <f>SUM(D220:G220)</f>
        <v>0</v>
      </c>
      <c r="I220" s="150"/>
      <c r="J220" s="150"/>
      <c r="K220" s="150"/>
      <c r="L220" s="150"/>
      <c r="M220" s="137">
        <f>SUM(I220:L220)</f>
        <v>0</v>
      </c>
      <c r="N220" s="150">
        <v>30</v>
      </c>
      <c r="O220" s="150"/>
      <c r="P220" s="150"/>
      <c r="Q220" s="150"/>
      <c r="R220" s="137">
        <f>SUM(N220:Q220)</f>
        <v>30</v>
      </c>
      <c r="S220" s="150"/>
      <c r="T220" s="150"/>
      <c r="U220" s="150"/>
      <c r="V220" s="150"/>
      <c r="W220" s="137">
        <f>SUM(S220:V220)</f>
        <v>0</v>
      </c>
    </row>
    <row r="221" spans="1:23" s="119" customFormat="1" ht="12.75" x14ac:dyDescent="0.2">
      <c r="A221" s="146"/>
      <c r="B221" s="147" t="s">
        <v>610</v>
      </c>
      <c r="C221" s="148"/>
      <c r="D221" s="152"/>
      <c r="E221" s="152"/>
      <c r="F221" s="152"/>
      <c r="G221" s="150"/>
      <c r="H221" s="137">
        <f>SUM(D221:G221)</f>
        <v>0</v>
      </c>
      <c r="I221" s="150"/>
      <c r="J221" s="150"/>
      <c r="K221" s="150"/>
      <c r="L221" s="150">
        <v>60</v>
      </c>
      <c r="M221" s="137">
        <f>SUM(I221:L221)</f>
        <v>60</v>
      </c>
      <c r="N221" s="150"/>
      <c r="O221" s="150"/>
      <c r="P221" s="150">
        <v>60</v>
      </c>
      <c r="Q221" s="150"/>
      <c r="R221" s="137">
        <f>SUM(N221:Q221)</f>
        <v>60</v>
      </c>
      <c r="S221" s="150"/>
      <c r="T221" s="150"/>
      <c r="U221" s="150"/>
      <c r="V221" s="150"/>
      <c r="W221" s="137">
        <f>SUM(S221:V221)</f>
        <v>0</v>
      </c>
    </row>
    <row r="222" spans="1:23" s="119" customFormat="1" ht="25.5" x14ac:dyDescent="0.2">
      <c r="A222" s="146"/>
      <c r="B222" s="147" t="s">
        <v>611</v>
      </c>
      <c r="C222" s="148"/>
      <c r="D222" s="152"/>
      <c r="E222" s="152"/>
      <c r="F222" s="152"/>
      <c r="G222" s="150"/>
      <c r="H222" s="137">
        <f>SUM(D222:G222)</f>
        <v>0</v>
      </c>
      <c r="I222" s="150"/>
      <c r="J222" s="150"/>
      <c r="K222" s="150"/>
      <c r="L222" s="150"/>
      <c r="M222" s="137">
        <f>SUM(I222:L222)</f>
        <v>0</v>
      </c>
      <c r="N222" s="150">
        <v>60</v>
      </c>
      <c r="O222" s="150"/>
      <c r="P222" s="150"/>
      <c r="Q222" s="150"/>
      <c r="R222" s="137">
        <f>SUM(N222:Q222)</f>
        <v>60</v>
      </c>
      <c r="S222" s="150"/>
      <c r="T222" s="150"/>
      <c r="U222" s="150">
        <v>60</v>
      </c>
      <c r="V222" s="150"/>
      <c r="W222" s="137">
        <f>SUM(S222:V222)</f>
        <v>60</v>
      </c>
    </row>
    <row r="223" spans="1:23" s="119" customFormat="1" ht="51" x14ac:dyDescent="0.2">
      <c r="A223" s="146" t="s">
        <v>612</v>
      </c>
      <c r="B223" s="147"/>
      <c r="C223" s="148">
        <v>0</v>
      </c>
      <c r="D223" s="150"/>
      <c r="E223" s="150">
        <v>4528</v>
      </c>
      <c r="F223" s="150"/>
      <c r="G223" s="150"/>
      <c r="H223" s="137">
        <f>SUM(D223:G223)</f>
        <v>4528</v>
      </c>
      <c r="I223" s="150"/>
      <c r="J223" s="150"/>
      <c r="K223" s="150"/>
      <c r="L223" s="150"/>
      <c r="M223" s="137">
        <f>SUM(I223:L223)</f>
        <v>0</v>
      </c>
      <c r="N223" s="150"/>
      <c r="O223" s="150"/>
      <c r="P223" s="150"/>
      <c r="Q223" s="150"/>
      <c r="R223" s="137">
        <f>SUM(N223:Q223)</f>
        <v>0</v>
      </c>
      <c r="S223" s="150"/>
      <c r="T223" s="150"/>
      <c r="U223" s="150"/>
      <c r="V223" s="150"/>
      <c r="W223" s="137">
        <f>SUM(S223:V223)</f>
        <v>0</v>
      </c>
    </row>
    <row r="224" spans="1:23" s="119" customFormat="1" ht="63.75" x14ac:dyDescent="0.2">
      <c r="A224" s="146" t="s">
        <v>613</v>
      </c>
      <c r="B224" s="147"/>
      <c r="C224" s="148">
        <v>0</v>
      </c>
      <c r="D224" s="150"/>
      <c r="E224" s="150"/>
      <c r="F224" s="150"/>
      <c r="G224" s="150"/>
      <c r="H224" s="137">
        <f>SUM(D224:G224)</f>
        <v>0</v>
      </c>
      <c r="I224" s="150"/>
      <c r="J224" s="150"/>
      <c r="K224" s="150"/>
      <c r="L224" s="150"/>
      <c r="M224" s="137">
        <f>SUM(I224:L224)</f>
        <v>0</v>
      </c>
      <c r="N224" s="150"/>
      <c r="O224" s="150"/>
      <c r="P224" s="150"/>
      <c r="Q224" s="150"/>
      <c r="R224" s="137">
        <f>SUM(N224:Q224)</f>
        <v>0</v>
      </c>
      <c r="S224" s="150"/>
      <c r="T224" s="150"/>
      <c r="U224" s="150"/>
      <c r="V224" s="150"/>
      <c r="W224" s="137">
        <f>SUM(S224:V224)</f>
        <v>0</v>
      </c>
    </row>
    <row r="225" spans="1:24" s="119" customFormat="1" ht="12.75" x14ac:dyDescent="0.2">
      <c r="A225" s="146"/>
      <c r="B225" s="147"/>
      <c r="C225" s="148"/>
      <c r="D225" s="150"/>
      <c r="E225" s="150"/>
      <c r="F225" s="150"/>
      <c r="G225" s="150"/>
      <c r="H225" s="129"/>
      <c r="I225" s="150"/>
      <c r="J225" s="150"/>
      <c r="K225" s="150"/>
      <c r="L225" s="150"/>
      <c r="M225" s="129"/>
      <c r="N225" s="150"/>
      <c r="O225" s="150"/>
      <c r="P225" s="150"/>
      <c r="Q225" s="150"/>
      <c r="R225" s="129"/>
      <c r="S225" s="130"/>
      <c r="T225" s="130"/>
      <c r="U225" s="130"/>
      <c r="V225" s="130"/>
      <c r="W225" s="131"/>
    </row>
    <row r="226" spans="1:24" s="145" customFormat="1" ht="38.25" x14ac:dyDescent="0.2">
      <c r="A226" s="299" t="s">
        <v>614</v>
      </c>
      <c r="B226" s="122"/>
      <c r="C226" s="143">
        <v>90</v>
      </c>
      <c r="D226" s="143">
        <v>2189</v>
      </c>
      <c r="E226" s="143">
        <v>3200</v>
      </c>
      <c r="F226" s="300">
        <v>4410</v>
      </c>
      <c r="G226" s="300">
        <v>5200</v>
      </c>
      <c r="H226" s="122">
        <f>SUM(D226:G226)</f>
        <v>14999</v>
      </c>
      <c r="I226" s="143">
        <v>8595</v>
      </c>
      <c r="J226" s="143">
        <v>8956</v>
      </c>
      <c r="K226" s="143">
        <f>SUM(K227:K227)</f>
        <v>0</v>
      </c>
      <c r="L226" s="143">
        <f>SUM(L227:L227)</f>
        <v>0</v>
      </c>
      <c r="M226" s="122">
        <f>SUM(I226:L226)</f>
        <v>17551</v>
      </c>
      <c r="N226" s="143">
        <f>SUM(N227:N227)</f>
        <v>0</v>
      </c>
      <c r="O226" s="143">
        <f>SUM(O227:O227)</f>
        <v>0</v>
      </c>
      <c r="P226" s="143">
        <f>SUM(P227:P227)</f>
        <v>0</v>
      </c>
      <c r="Q226" s="143">
        <f>SUM(Q227:Q227)</f>
        <v>0</v>
      </c>
      <c r="R226" s="122">
        <f>SUM(N226:Q226)</f>
        <v>0</v>
      </c>
      <c r="S226" s="143">
        <f>SUM(S227:S227)</f>
        <v>0</v>
      </c>
      <c r="T226" s="143">
        <f>SUM(T227:T227)</f>
        <v>0</v>
      </c>
      <c r="U226" s="143">
        <f>SUM(U227:U227)</f>
        <v>0</v>
      </c>
      <c r="V226" s="143">
        <f>SUM(V227:V227)</f>
        <v>0</v>
      </c>
      <c r="W226" s="122">
        <f>SUM(S226:V226)</f>
        <v>0</v>
      </c>
    </row>
    <row r="227" spans="1:24" s="156" customFormat="1" ht="12.75" x14ac:dyDescent="0.2">
      <c r="A227" s="153"/>
      <c r="B227" s="133"/>
      <c r="C227" s="127"/>
      <c r="D227" s="127"/>
      <c r="E227" s="128"/>
      <c r="F227" s="128"/>
      <c r="G227" s="128"/>
      <c r="H227" s="129"/>
      <c r="I227" s="128"/>
      <c r="J227" s="128"/>
      <c r="K227" s="128"/>
      <c r="L227" s="128"/>
      <c r="M227" s="129"/>
      <c r="N227" s="128"/>
      <c r="O227" s="128"/>
      <c r="P227" s="128"/>
      <c r="Q227" s="128"/>
      <c r="R227" s="129"/>
      <c r="S227" s="154"/>
      <c r="T227" s="154"/>
      <c r="U227" s="154"/>
      <c r="V227" s="154"/>
      <c r="W227" s="155"/>
    </row>
    <row r="228" spans="1:24" s="145" customFormat="1" ht="38.25" x14ac:dyDescent="0.2">
      <c r="A228" s="121" t="s">
        <v>615</v>
      </c>
      <c r="B228" s="121"/>
      <c r="C228" s="157">
        <f>SUM(C229:C235)</f>
        <v>1738.5599040000002</v>
      </c>
      <c r="D228" s="157">
        <f>SUM(D229:D235)</f>
        <v>684.5</v>
      </c>
      <c r="E228" s="157">
        <f>SUM(E229:E235)</f>
        <v>2189</v>
      </c>
      <c r="F228" s="157">
        <f>SUM(F229:F235)</f>
        <v>5692.5</v>
      </c>
      <c r="G228" s="157">
        <f>SUM(G229:G235)</f>
        <v>7860</v>
      </c>
      <c r="H228" s="122">
        <f>SUM(D228:G228)</f>
        <v>16426</v>
      </c>
      <c r="I228" s="157">
        <f>SUM(I229:I235)</f>
        <v>6402</v>
      </c>
      <c r="J228" s="157">
        <f>SUM(J229:J235)</f>
        <v>6714</v>
      </c>
      <c r="K228" s="157">
        <f>SUM(K229:K235)</f>
        <v>7026</v>
      </c>
      <c r="L228" s="157">
        <f>SUM(L229:L235)</f>
        <v>7338</v>
      </c>
      <c r="M228" s="122">
        <f t="shared" ref="M228:M234" si="10">SUM(I228:L228)</f>
        <v>27480</v>
      </c>
      <c r="N228" s="157">
        <f>SUM(N229:N235)</f>
        <v>7650</v>
      </c>
      <c r="O228" s="157">
        <f>SUM(O229:O235)</f>
        <v>7962</v>
      </c>
      <c r="P228" s="157">
        <f>SUM(P229:P235)</f>
        <v>8274</v>
      </c>
      <c r="Q228" s="157">
        <f>SUM(Q229:Q235)</f>
        <v>8586</v>
      </c>
      <c r="R228" s="122">
        <f>SUM(N228:Q228)</f>
        <v>32472</v>
      </c>
      <c r="S228" s="157">
        <f>SUM(S229:S235)</f>
        <v>8898</v>
      </c>
      <c r="T228" s="157">
        <f>SUM(T229:T235)</f>
        <v>9210</v>
      </c>
      <c r="U228" s="157">
        <f>SUM(U229:U235)</f>
        <v>9522</v>
      </c>
      <c r="V228" s="157">
        <f>SUM(V229:V235)</f>
        <v>9834</v>
      </c>
      <c r="W228" s="122">
        <f>SUM(S228:V228)</f>
        <v>37464</v>
      </c>
      <c r="X228" s="144">
        <v>43004</v>
      </c>
    </row>
    <row r="229" spans="1:24" s="119" customFormat="1" ht="38.25" x14ac:dyDescent="0.2">
      <c r="A229" s="158" t="s">
        <v>1047</v>
      </c>
      <c r="B229" s="138"/>
      <c r="C229" s="159">
        <v>662.76147000000003</v>
      </c>
      <c r="D229" s="140"/>
      <c r="E229" s="140">
        <v>1000</v>
      </c>
      <c r="F229" s="140">
        <v>3000</v>
      </c>
      <c r="G229" s="140">
        <v>4060</v>
      </c>
      <c r="H229" s="129">
        <f t="shared" ref="H229:H234" si="11">SUM(D229:G229)</f>
        <v>8060</v>
      </c>
      <c r="I229" s="160">
        <v>3200</v>
      </c>
      <c r="J229" s="160">
        <v>3400</v>
      </c>
      <c r="K229" s="160">
        <v>3600</v>
      </c>
      <c r="L229" s="160">
        <v>3800</v>
      </c>
      <c r="M229" s="141">
        <f t="shared" si="10"/>
        <v>14000</v>
      </c>
      <c r="N229" s="160">
        <v>4000</v>
      </c>
      <c r="O229" s="160">
        <v>4200</v>
      </c>
      <c r="P229" s="160">
        <v>4400</v>
      </c>
      <c r="Q229" s="160">
        <v>4600</v>
      </c>
      <c r="R229" s="129">
        <f t="shared" ref="R229:R234" si="12">SUM(N229:Q229)</f>
        <v>17200</v>
      </c>
      <c r="S229" s="161">
        <v>4800</v>
      </c>
      <c r="T229" s="161">
        <v>5000</v>
      </c>
      <c r="U229" s="161">
        <v>5200</v>
      </c>
      <c r="V229" s="161">
        <v>5400</v>
      </c>
      <c r="W229" s="129">
        <f t="shared" ref="W229:W234" si="13">SUM(S229:V229)</f>
        <v>20400</v>
      </c>
    </row>
    <row r="230" spans="1:24" s="119" customFormat="1" ht="25.5" x14ac:dyDescent="0.2">
      <c r="A230" s="158" t="s">
        <v>616</v>
      </c>
      <c r="B230" s="138"/>
      <c r="C230" s="159"/>
      <c r="D230" s="140"/>
      <c r="E230" s="140">
        <v>0</v>
      </c>
      <c r="F230" s="140">
        <v>1295</v>
      </c>
      <c r="G230" s="140">
        <v>1500</v>
      </c>
      <c r="H230" s="129">
        <f t="shared" si="11"/>
        <v>2795</v>
      </c>
      <c r="I230" s="160">
        <v>1550</v>
      </c>
      <c r="J230" s="160">
        <v>1600</v>
      </c>
      <c r="K230" s="160">
        <v>1650</v>
      </c>
      <c r="L230" s="160">
        <v>1700</v>
      </c>
      <c r="M230" s="141">
        <f t="shared" si="10"/>
        <v>6500</v>
      </c>
      <c r="N230" s="160">
        <v>1750</v>
      </c>
      <c r="O230" s="160">
        <v>1800</v>
      </c>
      <c r="P230" s="160">
        <v>1850</v>
      </c>
      <c r="Q230" s="160">
        <v>1900</v>
      </c>
      <c r="R230" s="129">
        <f t="shared" si="12"/>
        <v>7300</v>
      </c>
      <c r="S230" s="161">
        <v>1950</v>
      </c>
      <c r="T230" s="161">
        <v>2000</v>
      </c>
      <c r="U230" s="161">
        <v>2050</v>
      </c>
      <c r="V230" s="161">
        <v>2100</v>
      </c>
      <c r="W230" s="129">
        <f t="shared" si="13"/>
        <v>8100</v>
      </c>
    </row>
    <row r="231" spans="1:24" s="119" customFormat="1" ht="38.25" x14ac:dyDescent="0.2">
      <c r="A231" s="158" t="s">
        <v>617</v>
      </c>
      <c r="B231" s="138"/>
      <c r="C231" s="159">
        <v>161</v>
      </c>
      <c r="D231" s="140">
        <v>250</v>
      </c>
      <c r="E231" s="140">
        <v>250</v>
      </c>
      <c r="F231" s="140">
        <v>253</v>
      </c>
      <c r="G231" s="140">
        <v>800</v>
      </c>
      <c r="H231" s="129">
        <f t="shared" si="11"/>
        <v>1553</v>
      </c>
      <c r="I231" s="160">
        <v>270</v>
      </c>
      <c r="J231" s="160">
        <v>280</v>
      </c>
      <c r="K231" s="160">
        <v>290</v>
      </c>
      <c r="L231" s="160">
        <v>300</v>
      </c>
      <c r="M231" s="141">
        <f t="shared" si="10"/>
        <v>1140</v>
      </c>
      <c r="N231" s="160">
        <v>310</v>
      </c>
      <c r="O231" s="160">
        <v>320</v>
      </c>
      <c r="P231" s="160">
        <v>330</v>
      </c>
      <c r="Q231" s="160">
        <v>340</v>
      </c>
      <c r="R231" s="129">
        <f t="shared" si="12"/>
        <v>1300</v>
      </c>
      <c r="S231" s="161">
        <v>350</v>
      </c>
      <c r="T231" s="161">
        <v>360</v>
      </c>
      <c r="U231" s="161">
        <v>370</v>
      </c>
      <c r="V231" s="161">
        <v>380</v>
      </c>
      <c r="W231" s="129">
        <f t="shared" si="13"/>
        <v>1460</v>
      </c>
    </row>
    <row r="232" spans="1:24" s="119" customFormat="1" ht="38.25" x14ac:dyDescent="0.2">
      <c r="A232" s="158" t="s">
        <v>618</v>
      </c>
      <c r="B232" s="162"/>
      <c r="C232" s="159">
        <v>25</v>
      </c>
      <c r="D232" s="163">
        <v>31.5</v>
      </c>
      <c r="E232" s="140">
        <v>35</v>
      </c>
      <c r="F232" s="163">
        <v>48.5</v>
      </c>
      <c r="G232" s="140">
        <v>80</v>
      </c>
      <c r="H232" s="129">
        <f t="shared" si="11"/>
        <v>195</v>
      </c>
      <c r="I232" s="160">
        <v>82</v>
      </c>
      <c r="J232" s="160">
        <v>84</v>
      </c>
      <c r="K232" s="160">
        <v>86</v>
      </c>
      <c r="L232" s="160">
        <v>88</v>
      </c>
      <c r="M232" s="141">
        <f t="shared" si="10"/>
        <v>340</v>
      </c>
      <c r="N232" s="160">
        <v>90</v>
      </c>
      <c r="O232" s="160">
        <v>92</v>
      </c>
      <c r="P232" s="160">
        <v>94</v>
      </c>
      <c r="Q232" s="160">
        <v>96</v>
      </c>
      <c r="R232" s="129">
        <f t="shared" si="12"/>
        <v>372</v>
      </c>
      <c r="S232" s="161">
        <v>98</v>
      </c>
      <c r="T232" s="161">
        <v>100</v>
      </c>
      <c r="U232" s="161">
        <v>102</v>
      </c>
      <c r="V232" s="161">
        <v>104</v>
      </c>
      <c r="W232" s="129">
        <f t="shared" si="13"/>
        <v>404</v>
      </c>
    </row>
    <row r="233" spans="1:24" s="119" customFormat="1" ht="25.5" x14ac:dyDescent="0.2">
      <c r="A233" s="158" t="s">
        <v>619</v>
      </c>
      <c r="B233" s="138"/>
      <c r="C233" s="159">
        <v>889.79843400000004</v>
      </c>
      <c r="D233" s="140">
        <v>403</v>
      </c>
      <c r="E233" s="140">
        <v>865</v>
      </c>
      <c r="F233" s="140">
        <v>1096</v>
      </c>
      <c r="G233" s="140">
        <v>1300</v>
      </c>
      <c r="H233" s="129">
        <f t="shared" si="11"/>
        <v>3664</v>
      </c>
      <c r="I233" s="160">
        <v>1250</v>
      </c>
      <c r="J233" s="160">
        <v>1300</v>
      </c>
      <c r="K233" s="160">
        <v>1350</v>
      </c>
      <c r="L233" s="160">
        <v>1400</v>
      </c>
      <c r="M233" s="141">
        <f t="shared" si="10"/>
        <v>5300</v>
      </c>
      <c r="N233" s="160">
        <v>1450</v>
      </c>
      <c r="O233" s="160">
        <v>1500</v>
      </c>
      <c r="P233" s="160">
        <v>1550</v>
      </c>
      <c r="Q233" s="160">
        <v>1600</v>
      </c>
      <c r="R233" s="129">
        <f t="shared" si="12"/>
        <v>6100</v>
      </c>
      <c r="S233" s="161">
        <v>1650</v>
      </c>
      <c r="T233" s="161">
        <v>1700</v>
      </c>
      <c r="U233" s="161">
        <v>1750</v>
      </c>
      <c r="V233" s="161">
        <v>1800</v>
      </c>
      <c r="W233" s="129">
        <f t="shared" si="13"/>
        <v>6900</v>
      </c>
    </row>
    <row r="234" spans="1:24" s="119" customFormat="1" ht="38.25" x14ac:dyDescent="0.2">
      <c r="A234" s="158" t="s">
        <v>620</v>
      </c>
      <c r="B234" s="138"/>
      <c r="C234" s="159">
        <v>0</v>
      </c>
      <c r="D234" s="140">
        <v>0</v>
      </c>
      <c r="E234" s="140">
        <v>39</v>
      </c>
      <c r="F234" s="140">
        <v>0</v>
      </c>
      <c r="G234" s="140">
        <v>120</v>
      </c>
      <c r="H234" s="129">
        <f t="shared" si="11"/>
        <v>159</v>
      </c>
      <c r="I234" s="160">
        <v>50</v>
      </c>
      <c r="J234" s="160">
        <v>50</v>
      </c>
      <c r="K234" s="160">
        <v>50</v>
      </c>
      <c r="L234" s="160">
        <v>50</v>
      </c>
      <c r="M234" s="141">
        <f t="shared" si="10"/>
        <v>200</v>
      </c>
      <c r="N234" s="160">
        <v>50</v>
      </c>
      <c r="O234" s="160">
        <v>50</v>
      </c>
      <c r="P234" s="160">
        <v>50</v>
      </c>
      <c r="Q234" s="160">
        <v>50</v>
      </c>
      <c r="R234" s="129">
        <f t="shared" si="12"/>
        <v>200</v>
      </c>
      <c r="S234" s="161">
        <v>50</v>
      </c>
      <c r="T234" s="161">
        <v>50</v>
      </c>
      <c r="U234" s="161">
        <v>50</v>
      </c>
      <c r="V234" s="161">
        <v>50</v>
      </c>
      <c r="W234" s="129">
        <f t="shared" si="13"/>
        <v>200</v>
      </c>
    </row>
    <row r="235" spans="1:24" s="119" customFormat="1" ht="12.75" x14ac:dyDescent="0.2">
      <c r="A235" s="138"/>
      <c r="B235" s="138"/>
      <c r="C235" s="139"/>
      <c r="D235" s="140"/>
      <c r="E235" s="140"/>
      <c r="F235" s="140"/>
      <c r="G235" s="140"/>
      <c r="H235" s="129"/>
      <c r="I235" s="160"/>
      <c r="J235" s="160"/>
      <c r="K235" s="160"/>
      <c r="L235" s="160"/>
      <c r="M235" s="141"/>
      <c r="N235" s="160"/>
      <c r="O235" s="160"/>
      <c r="P235" s="160"/>
      <c r="Q235" s="160"/>
      <c r="R235" s="129"/>
      <c r="S235" s="130"/>
      <c r="T235" s="130"/>
      <c r="U235" s="130"/>
      <c r="V235" s="130"/>
      <c r="W235" s="131"/>
    </row>
    <row r="236" spans="1:24" s="145" customFormat="1" ht="25.5" x14ac:dyDescent="0.2">
      <c r="A236" s="121" t="s">
        <v>621</v>
      </c>
      <c r="B236" s="122"/>
      <c r="C236" s="143">
        <f>SUM(C237:C248)</f>
        <v>18989</v>
      </c>
      <c r="D236" s="143">
        <f>SUM(D237:D248)</f>
        <v>25627</v>
      </c>
      <c r="E236" s="143">
        <f>SUM(E237:E248)</f>
        <v>16600</v>
      </c>
      <c r="F236" s="143">
        <f>SUM(F237:F248)</f>
        <v>11863</v>
      </c>
      <c r="G236" s="143">
        <f>SUM(G237:G248)</f>
        <v>6053</v>
      </c>
      <c r="H236" s="122">
        <f>SUM(D236:G236)</f>
        <v>60143</v>
      </c>
      <c r="I236" s="143">
        <f>SUM(I237:I248)</f>
        <v>20760</v>
      </c>
      <c r="J236" s="143">
        <f>SUM(J237:J248)</f>
        <v>11060</v>
      </c>
      <c r="K236" s="143">
        <f>SUM(K237:K248)</f>
        <v>2370</v>
      </c>
      <c r="L236" s="143">
        <f>SUM(L237:L248)</f>
        <v>570</v>
      </c>
      <c r="M236" s="122">
        <f>SUM(I236:L236)</f>
        <v>34760</v>
      </c>
      <c r="N236" s="143">
        <f>SUM(N237:N248)</f>
        <v>12780</v>
      </c>
      <c r="O236" s="143">
        <f>SUM(O237:O248)</f>
        <v>4080</v>
      </c>
      <c r="P236" s="143">
        <f>SUM(P237:P248)</f>
        <v>5890</v>
      </c>
      <c r="Q236" s="143">
        <f>SUM(Q237:Q248)</f>
        <v>5090</v>
      </c>
      <c r="R236" s="122">
        <f>SUM(N236:Q236)</f>
        <v>27840</v>
      </c>
      <c r="S236" s="143">
        <f>SUM(S237:S248)</f>
        <v>7800</v>
      </c>
      <c r="T236" s="143">
        <f>SUM(T237:T248)</f>
        <v>600</v>
      </c>
      <c r="U236" s="143">
        <f>SUM(U237:U248)</f>
        <v>4410</v>
      </c>
      <c r="V236" s="143">
        <f>SUM(V237:V248)</f>
        <v>7610</v>
      </c>
      <c r="W236" s="122">
        <f>SUM(S236:V236)</f>
        <v>20420</v>
      </c>
    </row>
    <row r="237" spans="1:24" s="119" customFormat="1" ht="38.25" x14ac:dyDescent="0.2">
      <c r="A237" s="158" t="s">
        <v>622</v>
      </c>
      <c r="B237" s="162"/>
      <c r="C237" s="164">
        <v>0</v>
      </c>
      <c r="D237" s="165">
        <v>3127</v>
      </c>
      <c r="E237" s="165">
        <v>0</v>
      </c>
      <c r="F237" s="165">
        <v>0</v>
      </c>
      <c r="G237" s="165">
        <v>1200</v>
      </c>
      <c r="H237" s="129">
        <f>SUM(D237:G237)</f>
        <v>4327</v>
      </c>
      <c r="I237" s="160">
        <v>3000</v>
      </c>
      <c r="J237" s="160">
        <v>500</v>
      </c>
      <c r="K237" s="160">
        <v>500</v>
      </c>
      <c r="L237" s="160">
        <v>500</v>
      </c>
      <c r="M237" s="166">
        <f>SUM(I237:L237)</f>
        <v>4500</v>
      </c>
      <c r="N237" s="160">
        <v>3000</v>
      </c>
      <c r="O237" s="160">
        <v>500</v>
      </c>
      <c r="P237" s="160">
        <v>500</v>
      </c>
      <c r="Q237" s="160">
        <v>500</v>
      </c>
      <c r="R237" s="129">
        <f t="shared" ref="R237:R247" si="14">SUM(N237:Q237)</f>
        <v>4500</v>
      </c>
      <c r="S237" s="160">
        <v>3000</v>
      </c>
      <c r="T237" s="160">
        <v>500</v>
      </c>
      <c r="U237" s="160">
        <v>500</v>
      </c>
      <c r="V237" s="160">
        <v>500</v>
      </c>
      <c r="W237" s="129">
        <f t="shared" ref="W237:W247" si="15">SUM(S237:V237)</f>
        <v>4500</v>
      </c>
    </row>
    <row r="238" spans="1:24" s="119" customFormat="1" ht="38.25" x14ac:dyDescent="0.2">
      <c r="A238" s="158" t="s">
        <v>623</v>
      </c>
      <c r="B238" s="138"/>
      <c r="C238" s="164">
        <v>2100</v>
      </c>
      <c r="D238" s="165">
        <v>3000</v>
      </c>
      <c r="E238" s="165">
        <v>5200</v>
      </c>
      <c r="F238" s="165">
        <v>2302</v>
      </c>
      <c r="G238" s="165">
        <v>2303</v>
      </c>
      <c r="H238" s="129">
        <f t="shared" ref="H238:H247" si="16">SUM(D238:G238)</f>
        <v>12805</v>
      </c>
      <c r="I238" s="160">
        <v>2000</v>
      </c>
      <c r="J238" s="160">
        <v>0</v>
      </c>
      <c r="K238" s="160">
        <v>0</v>
      </c>
      <c r="L238" s="160">
        <v>0</v>
      </c>
      <c r="M238" s="166">
        <f t="shared" ref="M238:M247" si="17">SUM(I238:L238)</f>
        <v>2000</v>
      </c>
      <c r="N238" s="160">
        <v>2000</v>
      </c>
      <c r="O238" s="160">
        <v>2000</v>
      </c>
      <c r="P238" s="160">
        <v>2000</v>
      </c>
      <c r="Q238" s="160">
        <v>2000</v>
      </c>
      <c r="R238" s="129">
        <f t="shared" si="14"/>
        <v>8000</v>
      </c>
      <c r="S238" s="160">
        <v>0</v>
      </c>
      <c r="T238" s="160">
        <v>0</v>
      </c>
      <c r="U238" s="160">
        <v>0</v>
      </c>
      <c r="V238" s="161">
        <v>2000</v>
      </c>
      <c r="W238" s="129">
        <f t="shared" si="15"/>
        <v>2000</v>
      </c>
    </row>
    <row r="239" spans="1:24" s="119" customFormat="1" ht="38.25" x14ac:dyDescent="0.2">
      <c r="A239" s="158" t="s">
        <v>624</v>
      </c>
      <c r="B239" s="138"/>
      <c r="C239" s="164">
        <v>0</v>
      </c>
      <c r="D239" s="165">
        <v>0</v>
      </c>
      <c r="E239" s="165">
        <v>0</v>
      </c>
      <c r="F239" s="165">
        <v>2100</v>
      </c>
      <c r="G239" s="165">
        <v>0</v>
      </c>
      <c r="H239" s="129">
        <f t="shared" si="16"/>
        <v>2100</v>
      </c>
      <c r="I239" s="160">
        <v>1500</v>
      </c>
      <c r="J239" s="160">
        <v>0</v>
      </c>
      <c r="K239" s="160">
        <v>500</v>
      </c>
      <c r="L239" s="160">
        <v>0</v>
      </c>
      <c r="M239" s="166">
        <f t="shared" si="17"/>
        <v>2000</v>
      </c>
      <c r="N239" s="160">
        <v>2000</v>
      </c>
      <c r="O239" s="160">
        <v>0</v>
      </c>
      <c r="P239" s="160">
        <v>0</v>
      </c>
      <c r="Q239" s="160">
        <v>0</v>
      </c>
      <c r="R239" s="129">
        <f t="shared" si="14"/>
        <v>2000</v>
      </c>
      <c r="S239" s="161">
        <v>2000</v>
      </c>
      <c r="T239" s="160">
        <v>0</v>
      </c>
      <c r="U239" s="160">
        <v>0</v>
      </c>
      <c r="V239" s="160">
        <v>0</v>
      </c>
      <c r="W239" s="129">
        <f t="shared" si="15"/>
        <v>2000</v>
      </c>
    </row>
    <row r="240" spans="1:24" s="119" customFormat="1" ht="25.5" x14ac:dyDescent="0.2">
      <c r="A240" s="158" t="s">
        <v>625</v>
      </c>
      <c r="B240" s="162"/>
      <c r="C240" s="164">
        <v>3300</v>
      </c>
      <c r="D240" s="165">
        <v>7700</v>
      </c>
      <c r="E240" s="165">
        <v>0</v>
      </c>
      <c r="F240" s="165">
        <v>800</v>
      </c>
      <c r="G240" s="165">
        <v>0</v>
      </c>
      <c r="H240" s="129">
        <f t="shared" si="16"/>
        <v>8500</v>
      </c>
      <c r="I240" s="160">
        <v>2500</v>
      </c>
      <c r="J240" s="160">
        <v>0</v>
      </c>
      <c r="K240" s="160">
        <v>0</v>
      </c>
      <c r="L240" s="160">
        <v>0</v>
      </c>
      <c r="M240" s="166">
        <f t="shared" si="17"/>
        <v>2500</v>
      </c>
      <c r="N240" s="160">
        <v>2500</v>
      </c>
      <c r="O240" s="160">
        <v>0</v>
      </c>
      <c r="P240" s="160">
        <v>0</v>
      </c>
      <c r="Q240" s="160">
        <v>0</v>
      </c>
      <c r="R240" s="129">
        <f t="shared" si="14"/>
        <v>2500</v>
      </c>
      <c r="S240" s="161">
        <v>2500</v>
      </c>
      <c r="T240" s="160">
        <v>0</v>
      </c>
      <c r="U240" s="160">
        <v>0</v>
      </c>
      <c r="V240" s="160">
        <v>0</v>
      </c>
      <c r="W240" s="129">
        <f t="shared" si="15"/>
        <v>2500</v>
      </c>
    </row>
    <row r="241" spans="1:25" s="119" customFormat="1" ht="38.25" x14ac:dyDescent="0.2">
      <c r="A241" s="158" t="s">
        <v>626</v>
      </c>
      <c r="B241" s="162"/>
      <c r="C241" s="164">
        <v>1400</v>
      </c>
      <c r="D241" s="165">
        <v>0</v>
      </c>
      <c r="E241" s="165">
        <v>0</v>
      </c>
      <c r="F241" s="165">
        <v>0</v>
      </c>
      <c r="G241" s="165">
        <v>2500</v>
      </c>
      <c r="H241" s="129">
        <f t="shared" si="16"/>
        <v>2500</v>
      </c>
      <c r="I241" s="160">
        <v>7000</v>
      </c>
      <c r="J241" s="160">
        <v>7000</v>
      </c>
      <c r="K241" s="160">
        <v>0</v>
      </c>
      <c r="L241" s="160">
        <v>0</v>
      </c>
      <c r="M241" s="166">
        <f t="shared" si="17"/>
        <v>14000</v>
      </c>
      <c r="N241" s="160">
        <v>500</v>
      </c>
      <c r="O241" s="160">
        <v>500</v>
      </c>
      <c r="P241" s="160">
        <v>0</v>
      </c>
      <c r="Q241" s="160">
        <v>0</v>
      </c>
      <c r="R241" s="129">
        <f t="shared" si="14"/>
        <v>1000</v>
      </c>
      <c r="S241" s="160">
        <v>0</v>
      </c>
      <c r="T241" s="160">
        <v>0</v>
      </c>
      <c r="U241" s="161">
        <v>500</v>
      </c>
      <c r="V241" s="161">
        <v>500</v>
      </c>
      <c r="W241" s="129">
        <f t="shared" si="15"/>
        <v>1000</v>
      </c>
    </row>
    <row r="242" spans="1:25" s="119" customFormat="1" ht="38.25" x14ac:dyDescent="0.2">
      <c r="A242" s="158" t="s">
        <v>627</v>
      </c>
      <c r="B242" s="138"/>
      <c r="C242" s="159">
        <v>430</v>
      </c>
      <c r="D242" s="140">
        <v>800</v>
      </c>
      <c r="E242" s="165">
        <v>0</v>
      </c>
      <c r="F242" s="165">
        <v>0</v>
      </c>
      <c r="G242" s="165">
        <v>0</v>
      </c>
      <c r="H242" s="129">
        <f t="shared" si="16"/>
        <v>800</v>
      </c>
      <c r="I242" s="160">
        <v>2500</v>
      </c>
      <c r="J242" s="160">
        <v>1000</v>
      </c>
      <c r="K242" s="160">
        <v>0</v>
      </c>
      <c r="L242" s="160">
        <v>0</v>
      </c>
      <c r="M242" s="166">
        <f t="shared" si="17"/>
        <v>3500</v>
      </c>
      <c r="N242" s="160">
        <v>2500</v>
      </c>
      <c r="O242" s="160">
        <v>1000</v>
      </c>
      <c r="P242" s="160">
        <v>0</v>
      </c>
      <c r="Q242" s="160">
        <v>0</v>
      </c>
      <c r="R242" s="129">
        <f t="shared" si="14"/>
        <v>3500</v>
      </c>
      <c r="S242" s="160">
        <v>0</v>
      </c>
      <c r="T242" s="160">
        <v>0</v>
      </c>
      <c r="U242" s="160">
        <v>0</v>
      </c>
      <c r="V242" s="161">
        <v>2000</v>
      </c>
      <c r="W242" s="129">
        <f t="shared" si="15"/>
        <v>2000</v>
      </c>
    </row>
    <row r="243" spans="1:25" s="119" customFormat="1" ht="25.5" x14ac:dyDescent="0.2">
      <c r="A243" s="158" t="s">
        <v>628</v>
      </c>
      <c r="B243" s="162"/>
      <c r="C243" s="164">
        <v>10000</v>
      </c>
      <c r="D243" s="165">
        <v>11000</v>
      </c>
      <c r="E243" s="165">
        <v>10200</v>
      </c>
      <c r="F243" s="165">
        <v>0</v>
      </c>
      <c r="G243" s="165">
        <v>0</v>
      </c>
      <c r="H243" s="129">
        <f t="shared" si="16"/>
        <v>21200</v>
      </c>
      <c r="I243" s="160">
        <v>0</v>
      </c>
      <c r="J243" s="160">
        <v>500</v>
      </c>
      <c r="K243" s="160">
        <v>500</v>
      </c>
      <c r="L243" s="160">
        <v>0</v>
      </c>
      <c r="M243" s="166">
        <f t="shared" si="17"/>
        <v>1000</v>
      </c>
      <c r="N243" s="160">
        <v>0</v>
      </c>
      <c r="O243" s="160">
        <v>0</v>
      </c>
      <c r="P243" s="160">
        <v>500</v>
      </c>
      <c r="Q243" s="160">
        <v>500</v>
      </c>
      <c r="R243" s="129">
        <f t="shared" si="14"/>
        <v>1000</v>
      </c>
      <c r="S243" s="160">
        <v>0</v>
      </c>
      <c r="T243" s="160">
        <v>0</v>
      </c>
      <c r="U243" s="161">
        <v>500</v>
      </c>
      <c r="V243" s="161">
        <v>500</v>
      </c>
      <c r="W243" s="129">
        <f t="shared" si="15"/>
        <v>1000</v>
      </c>
    </row>
    <row r="244" spans="1:25" s="119" customFormat="1" ht="25.5" x14ac:dyDescent="0.2">
      <c r="A244" s="158" t="s">
        <v>629</v>
      </c>
      <c r="B244" s="162"/>
      <c r="C244" s="164"/>
      <c r="D244" s="165">
        <v>0</v>
      </c>
      <c r="E244" s="165">
        <v>0</v>
      </c>
      <c r="F244" s="165">
        <v>0</v>
      </c>
      <c r="G244" s="165">
        <v>0</v>
      </c>
      <c r="H244" s="129">
        <f t="shared" si="16"/>
        <v>0</v>
      </c>
      <c r="I244" s="160">
        <v>200</v>
      </c>
      <c r="J244" s="160">
        <v>0</v>
      </c>
      <c r="K244" s="160">
        <v>0</v>
      </c>
      <c r="L244" s="160">
        <v>0</v>
      </c>
      <c r="M244" s="166">
        <f t="shared" si="17"/>
        <v>200</v>
      </c>
      <c r="N244" s="160">
        <v>200</v>
      </c>
      <c r="O244" s="160">
        <v>0</v>
      </c>
      <c r="P244" s="160">
        <v>0</v>
      </c>
      <c r="Q244" s="160">
        <v>0</v>
      </c>
      <c r="R244" s="129">
        <f t="shared" si="14"/>
        <v>200</v>
      </c>
      <c r="S244" s="161">
        <v>200</v>
      </c>
      <c r="T244" s="160">
        <v>0</v>
      </c>
      <c r="U244" s="160">
        <v>0</v>
      </c>
      <c r="V244" s="160">
        <v>0</v>
      </c>
      <c r="W244" s="129">
        <f t="shared" si="15"/>
        <v>200</v>
      </c>
    </row>
    <row r="245" spans="1:25" s="119" customFormat="1" ht="38.25" x14ac:dyDescent="0.2">
      <c r="A245" s="158" t="s">
        <v>630</v>
      </c>
      <c r="B245" s="162"/>
      <c r="C245" s="164">
        <v>1759</v>
      </c>
      <c r="D245" s="165">
        <v>0</v>
      </c>
      <c r="E245" s="165">
        <v>1200</v>
      </c>
      <c r="F245" s="165">
        <v>0</v>
      </c>
      <c r="G245" s="165">
        <v>0</v>
      </c>
      <c r="H245" s="129">
        <f t="shared" si="16"/>
        <v>1200</v>
      </c>
      <c r="I245" s="160">
        <v>2000</v>
      </c>
      <c r="J245" s="160">
        <v>2000</v>
      </c>
      <c r="K245" s="160">
        <v>0</v>
      </c>
      <c r="L245" s="160">
        <v>0</v>
      </c>
      <c r="M245" s="166">
        <f t="shared" si="17"/>
        <v>4000</v>
      </c>
      <c r="N245" s="160">
        <v>0</v>
      </c>
      <c r="O245" s="160">
        <v>0</v>
      </c>
      <c r="P245" s="160">
        <v>2000</v>
      </c>
      <c r="Q245" s="160">
        <v>2000</v>
      </c>
      <c r="R245" s="129">
        <f t="shared" si="14"/>
        <v>4000</v>
      </c>
      <c r="S245" s="160">
        <v>0</v>
      </c>
      <c r="T245" s="160">
        <v>0</v>
      </c>
      <c r="U245" s="161">
        <v>2000</v>
      </c>
      <c r="V245" s="161">
        <v>2000</v>
      </c>
      <c r="W245" s="129">
        <f t="shared" si="15"/>
        <v>4000</v>
      </c>
    </row>
    <row r="246" spans="1:25" s="119" customFormat="1" ht="38.25" x14ac:dyDescent="0.2">
      <c r="A246" s="158" t="s">
        <v>631</v>
      </c>
      <c r="B246" s="162"/>
      <c r="C246" s="164">
        <v>0</v>
      </c>
      <c r="D246" s="165">
        <v>0</v>
      </c>
      <c r="E246" s="165">
        <v>0</v>
      </c>
      <c r="F246" s="165">
        <v>6661</v>
      </c>
      <c r="G246" s="165">
        <v>0</v>
      </c>
      <c r="H246" s="129">
        <f t="shared" si="16"/>
        <v>6661</v>
      </c>
      <c r="I246" s="160">
        <v>0</v>
      </c>
      <c r="J246" s="160">
        <v>0</v>
      </c>
      <c r="K246" s="160">
        <v>800</v>
      </c>
      <c r="L246" s="160">
        <v>0</v>
      </c>
      <c r="M246" s="166">
        <f t="shared" si="17"/>
        <v>800</v>
      </c>
      <c r="N246" s="160">
        <v>0</v>
      </c>
      <c r="O246" s="160">
        <v>0</v>
      </c>
      <c r="P246" s="160">
        <v>800</v>
      </c>
      <c r="Q246" s="160">
        <v>0</v>
      </c>
      <c r="R246" s="129">
        <f t="shared" si="14"/>
        <v>800</v>
      </c>
      <c r="S246" s="160">
        <v>0</v>
      </c>
      <c r="T246" s="160">
        <v>0</v>
      </c>
      <c r="U246" s="161">
        <v>800</v>
      </c>
      <c r="V246" s="160">
        <v>0</v>
      </c>
      <c r="W246" s="129">
        <f t="shared" si="15"/>
        <v>800</v>
      </c>
    </row>
    <row r="247" spans="1:25" s="119" customFormat="1" ht="25.5" x14ac:dyDescent="0.2">
      <c r="A247" s="158" t="s">
        <v>632</v>
      </c>
      <c r="B247" s="162"/>
      <c r="C247" s="164"/>
      <c r="D247" s="165">
        <v>0</v>
      </c>
      <c r="E247" s="165">
        <v>0</v>
      </c>
      <c r="F247" s="165">
        <v>0</v>
      </c>
      <c r="G247" s="165">
        <v>50</v>
      </c>
      <c r="H247" s="129">
        <f t="shared" si="16"/>
        <v>50</v>
      </c>
      <c r="I247" s="160">
        <v>60</v>
      </c>
      <c r="J247" s="160">
        <v>60</v>
      </c>
      <c r="K247" s="160">
        <v>70</v>
      </c>
      <c r="L247" s="160">
        <v>70</v>
      </c>
      <c r="M247" s="166">
        <f t="shared" si="17"/>
        <v>260</v>
      </c>
      <c r="N247" s="160">
        <v>80</v>
      </c>
      <c r="O247" s="160">
        <v>80</v>
      </c>
      <c r="P247" s="160">
        <v>90</v>
      </c>
      <c r="Q247" s="160">
        <v>90</v>
      </c>
      <c r="R247" s="129">
        <f t="shared" si="14"/>
        <v>340</v>
      </c>
      <c r="S247" s="161">
        <v>100</v>
      </c>
      <c r="T247" s="161">
        <v>100</v>
      </c>
      <c r="U247" s="161">
        <v>110</v>
      </c>
      <c r="V247" s="161">
        <v>110</v>
      </c>
      <c r="W247" s="129">
        <f t="shared" si="15"/>
        <v>420</v>
      </c>
    </row>
    <row r="248" spans="1:25" s="173" customFormat="1" ht="12.75" x14ac:dyDescent="0.2">
      <c r="A248" s="167"/>
      <c r="B248" s="168"/>
      <c r="C248" s="139"/>
      <c r="D248" s="140"/>
      <c r="E248" s="140"/>
      <c r="F248" s="140"/>
      <c r="G248" s="140"/>
      <c r="H248" s="126"/>
      <c r="I248" s="169"/>
      <c r="J248" s="169"/>
      <c r="K248" s="169"/>
      <c r="L248" s="169"/>
      <c r="M248" s="170"/>
      <c r="N248" s="169"/>
      <c r="O248" s="169"/>
      <c r="P248" s="169"/>
      <c r="Q248" s="169"/>
      <c r="R248" s="126"/>
      <c r="S248" s="171"/>
      <c r="T248" s="171"/>
      <c r="U248" s="171"/>
      <c r="V248" s="171"/>
      <c r="W248" s="172"/>
    </row>
    <row r="249" spans="1:25" s="145" customFormat="1" ht="25.5" x14ac:dyDescent="0.2">
      <c r="A249" s="121" t="s">
        <v>633</v>
      </c>
      <c r="B249" s="122"/>
      <c r="C249" s="157">
        <v>1061</v>
      </c>
      <c r="D249" s="157">
        <v>250</v>
      </c>
      <c r="E249" s="157">
        <v>260</v>
      </c>
      <c r="F249" s="157">
        <v>1200</v>
      </c>
      <c r="G249" s="157">
        <v>2000</v>
      </c>
      <c r="H249" s="122">
        <f>SUM(D249:G249)</f>
        <v>3710</v>
      </c>
      <c r="I249" s="157">
        <v>2500</v>
      </c>
      <c r="J249" s="157">
        <v>2500</v>
      </c>
      <c r="K249" s="157">
        <v>3000</v>
      </c>
      <c r="L249" s="157">
        <v>3000</v>
      </c>
      <c r="M249" s="122">
        <f>SUM(I249:L249)</f>
        <v>11000</v>
      </c>
      <c r="N249" s="157">
        <v>3500</v>
      </c>
      <c r="O249" s="157">
        <v>3500</v>
      </c>
      <c r="P249" s="157">
        <v>4000</v>
      </c>
      <c r="Q249" s="157">
        <v>4000</v>
      </c>
      <c r="R249" s="122">
        <f>SUM(N249:Q249)</f>
        <v>15000</v>
      </c>
      <c r="S249" s="174">
        <v>4500</v>
      </c>
      <c r="T249" s="174">
        <v>4500</v>
      </c>
      <c r="U249" s="174">
        <v>5000</v>
      </c>
      <c r="V249" s="174">
        <v>5000</v>
      </c>
      <c r="W249" s="122">
        <f>SUM(S249:V249)</f>
        <v>19000</v>
      </c>
      <c r="X249" s="144">
        <v>43004</v>
      </c>
    </row>
    <row r="250" spans="1:25" s="156" customFormat="1" ht="12.75" x14ac:dyDescent="0.2">
      <c r="A250" s="153"/>
      <c r="B250" s="126"/>
      <c r="C250" s="128"/>
      <c r="D250" s="128"/>
      <c r="E250" s="128"/>
      <c r="F250" s="128"/>
      <c r="G250" s="128"/>
      <c r="H250" s="126"/>
      <c r="I250" s="128"/>
      <c r="J250" s="128"/>
      <c r="K250" s="128"/>
      <c r="L250" s="128"/>
      <c r="M250" s="126"/>
      <c r="N250" s="128"/>
      <c r="O250" s="128"/>
      <c r="P250" s="128"/>
      <c r="Q250" s="128"/>
      <c r="R250" s="126"/>
      <c r="S250" s="154"/>
      <c r="T250" s="154"/>
      <c r="U250" s="154"/>
      <c r="V250" s="154"/>
      <c r="W250" s="155"/>
    </row>
    <row r="251" spans="1:25" s="145" customFormat="1" ht="12.75" x14ac:dyDescent="0.2">
      <c r="A251" s="121" t="s">
        <v>634</v>
      </c>
      <c r="B251" s="122"/>
      <c r="C251" s="143">
        <f>SUM(C252:C256)</f>
        <v>0</v>
      </c>
      <c r="D251" s="143">
        <f>SUM(D252:D256)</f>
        <v>0</v>
      </c>
      <c r="E251" s="143">
        <f>SUM(E252:E256)</f>
        <v>0</v>
      </c>
      <c r="F251" s="143">
        <f>SUM(F252:F256)</f>
        <v>46</v>
      </c>
      <c r="G251" s="143">
        <f>SUM(G252:G256)</f>
        <v>1281</v>
      </c>
      <c r="H251" s="122">
        <f t="shared" ref="H251:H256" si="18">SUM(D251:G251)</f>
        <v>1327</v>
      </c>
      <c r="I251" s="143">
        <f>SUM(I252:I256)</f>
        <v>735</v>
      </c>
      <c r="J251" s="143">
        <f>SUM(J252:J256)</f>
        <v>1085</v>
      </c>
      <c r="K251" s="143">
        <f>SUM(K252:K256)</f>
        <v>785</v>
      </c>
      <c r="L251" s="143">
        <f>SUM(L252:L256)</f>
        <v>1185</v>
      </c>
      <c r="M251" s="122">
        <f>SUM(I251:L251)</f>
        <v>3790</v>
      </c>
      <c r="N251" s="143">
        <f>SUM(N252:N256)</f>
        <v>945</v>
      </c>
      <c r="O251" s="143">
        <f>SUM(O252:O256)</f>
        <v>895</v>
      </c>
      <c r="P251" s="143">
        <f>SUM(P252:P256)</f>
        <v>945</v>
      </c>
      <c r="Q251" s="143">
        <f>SUM(Q252:Q256)</f>
        <v>895</v>
      </c>
      <c r="R251" s="122">
        <f>SUM(N251:Q251)</f>
        <v>3680</v>
      </c>
      <c r="S251" s="143">
        <f>SUM(S252:S256)</f>
        <v>905</v>
      </c>
      <c r="T251" s="143">
        <f>SUM(T252:T256)</f>
        <v>905</v>
      </c>
      <c r="U251" s="143">
        <f>SUM(U252:U256)</f>
        <v>1005</v>
      </c>
      <c r="V251" s="143">
        <f>SUM(V252:V256)</f>
        <v>955</v>
      </c>
      <c r="W251" s="122">
        <f>SUM(S251:V251)</f>
        <v>3770</v>
      </c>
      <c r="X251" s="175">
        <f>+W251+R251+M251+H251</f>
        <v>12567</v>
      </c>
      <c r="Y251" s="144">
        <v>42997</v>
      </c>
    </row>
    <row r="252" spans="1:25" s="119" customFormat="1" ht="12.75" x14ac:dyDescent="0.2">
      <c r="A252" s="176" t="s">
        <v>635</v>
      </c>
      <c r="B252" s="161"/>
      <c r="C252" s="177"/>
      <c r="D252" s="177"/>
      <c r="E252" s="177"/>
      <c r="F252" s="177"/>
      <c r="G252" s="177">
        <v>500</v>
      </c>
      <c r="H252" s="118">
        <f t="shared" si="18"/>
        <v>500</v>
      </c>
      <c r="I252" s="177">
        <v>300</v>
      </c>
      <c r="J252" s="177">
        <v>300</v>
      </c>
      <c r="K252" s="177">
        <v>300</v>
      </c>
      <c r="L252" s="177">
        <v>350</v>
      </c>
      <c r="M252" s="118">
        <f>+I252+J252+K252+L252</f>
        <v>1250</v>
      </c>
      <c r="N252" s="177">
        <v>450</v>
      </c>
      <c r="O252" s="177"/>
      <c r="P252" s="177">
        <v>450</v>
      </c>
      <c r="Q252" s="177"/>
      <c r="R252" s="118">
        <f>+N252+O252+P252+Q252</f>
        <v>900</v>
      </c>
      <c r="S252" s="177">
        <v>500</v>
      </c>
      <c r="T252" s="177"/>
      <c r="U252" s="177">
        <v>500</v>
      </c>
      <c r="V252" s="177"/>
      <c r="W252" s="118">
        <f>+S252+T252+U252+V252</f>
        <v>1000</v>
      </c>
    </row>
    <row r="253" spans="1:25" s="119" customFormat="1" ht="25.5" x14ac:dyDescent="0.2">
      <c r="A253" s="178" t="s">
        <v>636</v>
      </c>
      <c r="B253" s="161"/>
      <c r="C253" s="177"/>
      <c r="D253" s="177"/>
      <c r="E253" s="177"/>
      <c r="F253" s="177"/>
      <c r="G253" s="177">
        <v>400</v>
      </c>
      <c r="H253" s="118">
        <f t="shared" si="18"/>
        <v>400</v>
      </c>
      <c r="I253" s="177"/>
      <c r="J253" s="177">
        <v>350</v>
      </c>
      <c r="K253" s="177"/>
      <c r="L253" s="177">
        <v>350</v>
      </c>
      <c r="M253" s="118">
        <f>+I253+J253+K253+L253</f>
        <v>700</v>
      </c>
      <c r="N253" s="177"/>
      <c r="O253" s="177">
        <v>400</v>
      </c>
      <c r="P253" s="177"/>
      <c r="Q253" s="177">
        <v>400</v>
      </c>
      <c r="R253" s="118">
        <f>+N253+O253+P253+Q253</f>
        <v>800</v>
      </c>
      <c r="S253" s="177"/>
      <c r="T253" s="177">
        <v>450</v>
      </c>
      <c r="U253" s="177"/>
      <c r="V253" s="177">
        <v>450</v>
      </c>
      <c r="W253" s="118">
        <f>+S253+T253+U253+V253</f>
        <v>900</v>
      </c>
    </row>
    <row r="254" spans="1:25" s="119" customFormat="1" ht="25.5" x14ac:dyDescent="0.2">
      <c r="A254" s="178" t="s">
        <v>637</v>
      </c>
      <c r="B254" s="161"/>
      <c r="C254" s="177"/>
      <c r="D254" s="177"/>
      <c r="E254" s="177"/>
      <c r="F254" s="177"/>
      <c r="G254" s="177">
        <v>300</v>
      </c>
      <c r="H254" s="118">
        <f t="shared" si="18"/>
        <v>300</v>
      </c>
      <c r="I254" s="177">
        <v>350</v>
      </c>
      <c r="J254" s="177">
        <v>350</v>
      </c>
      <c r="K254" s="177">
        <v>400</v>
      </c>
      <c r="L254" s="177">
        <v>400</v>
      </c>
      <c r="M254" s="118">
        <f>+I254+J254+K254+L254</f>
        <v>1500</v>
      </c>
      <c r="N254" s="177">
        <v>400</v>
      </c>
      <c r="O254" s="177">
        <v>400</v>
      </c>
      <c r="P254" s="177">
        <v>400</v>
      </c>
      <c r="Q254" s="177">
        <v>400</v>
      </c>
      <c r="R254" s="118">
        <f>+N254+O254+P254+Q254</f>
        <v>1600</v>
      </c>
      <c r="S254" s="177">
        <v>300</v>
      </c>
      <c r="T254" s="177">
        <v>350</v>
      </c>
      <c r="U254" s="177">
        <v>400</v>
      </c>
      <c r="V254" s="177">
        <v>400</v>
      </c>
      <c r="W254" s="118">
        <f>+S254+T254+U254+V254</f>
        <v>1450</v>
      </c>
    </row>
    <row r="255" spans="1:25" s="119" customFormat="1" ht="25.5" x14ac:dyDescent="0.2">
      <c r="A255" s="179" t="s">
        <v>638</v>
      </c>
      <c r="B255" s="161"/>
      <c r="C255" s="177"/>
      <c r="D255" s="177"/>
      <c r="E255" s="177"/>
      <c r="F255" s="177">
        <v>46</v>
      </c>
      <c r="G255" s="177">
        <v>46</v>
      </c>
      <c r="H255" s="118">
        <f t="shared" si="18"/>
        <v>92</v>
      </c>
      <c r="I255" s="177">
        <v>50</v>
      </c>
      <c r="J255" s="177">
        <v>50</v>
      </c>
      <c r="K255" s="177">
        <v>50</v>
      </c>
      <c r="L255" s="177">
        <v>50</v>
      </c>
      <c r="M255" s="118">
        <f>+I255+J255+K255+L255</f>
        <v>200</v>
      </c>
      <c r="N255" s="177">
        <v>60</v>
      </c>
      <c r="O255" s="177">
        <v>60</v>
      </c>
      <c r="P255" s="177">
        <v>60</v>
      </c>
      <c r="Q255" s="177">
        <v>60</v>
      </c>
      <c r="R255" s="118">
        <f>+N255+O255+P255+Q255</f>
        <v>240</v>
      </c>
      <c r="S255" s="177">
        <v>65</v>
      </c>
      <c r="T255" s="177">
        <v>65</v>
      </c>
      <c r="U255" s="177">
        <v>65</v>
      </c>
      <c r="V255" s="177">
        <v>65</v>
      </c>
      <c r="W255" s="118">
        <f>+S255+T255+U255+V255</f>
        <v>260</v>
      </c>
    </row>
    <row r="256" spans="1:25" s="119" customFormat="1" ht="25.5" x14ac:dyDescent="0.2">
      <c r="A256" s="179" t="s">
        <v>639</v>
      </c>
      <c r="B256" s="161"/>
      <c r="C256" s="177"/>
      <c r="D256" s="177"/>
      <c r="E256" s="177"/>
      <c r="F256" s="177"/>
      <c r="G256" s="177">
        <v>35</v>
      </c>
      <c r="H256" s="118">
        <f t="shared" si="18"/>
        <v>35</v>
      </c>
      <c r="I256" s="177">
        <v>35</v>
      </c>
      <c r="J256" s="177">
        <v>35</v>
      </c>
      <c r="K256" s="177">
        <v>35</v>
      </c>
      <c r="L256" s="177">
        <v>35</v>
      </c>
      <c r="M256" s="118">
        <f>+I256+J256+K256+L256</f>
        <v>140</v>
      </c>
      <c r="N256" s="177">
        <v>35</v>
      </c>
      <c r="O256" s="177">
        <v>35</v>
      </c>
      <c r="P256" s="177">
        <v>35</v>
      </c>
      <c r="Q256" s="177">
        <v>35</v>
      </c>
      <c r="R256" s="118">
        <f>+N256+O256+P256+Q256</f>
        <v>140</v>
      </c>
      <c r="S256" s="177">
        <v>40</v>
      </c>
      <c r="T256" s="177">
        <v>40</v>
      </c>
      <c r="U256" s="177">
        <v>40</v>
      </c>
      <c r="V256" s="177">
        <v>40</v>
      </c>
      <c r="W256" s="118">
        <f>+S256+T256+U256+V256</f>
        <v>160</v>
      </c>
    </row>
    <row r="257" spans="1:24" s="173" customFormat="1" ht="12.75" x14ac:dyDescent="0.2">
      <c r="A257" s="127"/>
      <c r="B257" s="127"/>
      <c r="C257" s="180"/>
      <c r="D257" s="180"/>
      <c r="E257" s="180"/>
      <c r="F257" s="180"/>
      <c r="G257" s="180"/>
      <c r="H257" s="129"/>
      <c r="I257" s="180"/>
      <c r="J257" s="180"/>
      <c r="K257" s="180"/>
      <c r="L257" s="180"/>
      <c r="M257" s="129"/>
      <c r="N257" s="180"/>
      <c r="O257" s="180"/>
      <c r="P257" s="180"/>
      <c r="Q257" s="180"/>
      <c r="R257" s="129"/>
    </row>
    <row r="258" spans="1:24" s="145" customFormat="1" ht="12.75" x14ac:dyDescent="0.2">
      <c r="A258" s="121" t="s">
        <v>640</v>
      </c>
      <c r="B258" s="122"/>
      <c r="C258" s="143">
        <f>SUM(C259:C263)</f>
        <v>0</v>
      </c>
      <c r="D258" s="143">
        <f>SUM(D259:D263)</f>
        <v>0</v>
      </c>
      <c r="E258" s="143">
        <f>SUM(E259:E263)</f>
        <v>0</v>
      </c>
      <c r="F258" s="143">
        <f>SUM(F259:F263)</f>
        <v>135</v>
      </c>
      <c r="G258" s="143">
        <f>SUM(G259:G263)</f>
        <v>1280</v>
      </c>
      <c r="H258" s="122">
        <f t="shared" ref="H258:H263" si="19">SUM(D258:G258)</f>
        <v>1415</v>
      </c>
      <c r="I258" s="143">
        <f>SUM(I259:I263)</f>
        <v>985</v>
      </c>
      <c r="J258" s="143">
        <f>SUM(J259:J263)</f>
        <v>1050</v>
      </c>
      <c r="K258" s="143">
        <f>SUM(K259:K263)</f>
        <v>1195</v>
      </c>
      <c r="L258" s="143">
        <f>SUM(L259:L263)</f>
        <v>610</v>
      </c>
      <c r="M258" s="122">
        <f>SUM(I258:L258)</f>
        <v>3840</v>
      </c>
      <c r="N258" s="143">
        <f>SUM(N259:N263)</f>
        <v>615</v>
      </c>
      <c r="O258" s="143">
        <f>SUM(O259:O263)</f>
        <v>720</v>
      </c>
      <c r="P258" s="143">
        <f>SUM(P259:P263)</f>
        <v>675</v>
      </c>
      <c r="Q258" s="143">
        <f>SUM(Q259:Q263)</f>
        <v>740</v>
      </c>
      <c r="R258" s="122">
        <f>SUM(N258:Q258)</f>
        <v>2750</v>
      </c>
      <c r="S258" s="143">
        <f>SUM(S259:S263)</f>
        <v>725</v>
      </c>
      <c r="T258" s="143">
        <f>SUM(T259:T263)</f>
        <v>235</v>
      </c>
      <c r="U258" s="143">
        <f>SUM(U259:U263)</f>
        <v>1235</v>
      </c>
      <c r="V258" s="143">
        <f>SUM(V259:V263)</f>
        <v>245</v>
      </c>
      <c r="W258" s="122">
        <f>SUM(S258:V258)</f>
        <v>2440</v>
      </c>
      <c r="X258" s="175">
        <f>+W258+R258+M258+H258</f>
        <v>10445</v>
      </c>
    </row>
    <row r="259" spans="1:24" s="119" customFormat="1" ht="25.5" x14ac:dyDescent="0.2">
      <c r="A259" s="179" t="s">
        <v>641</v>
      </c>
      <c r="B259" s="161"/>
      <c r="C259" s="177"/>
      <c r="D259" s="177"/>
      <c r="E259" s="177"/>
      <c r="F259" s="177">
        <v>135</v>
      </c>
      <c r="G259" s="177">
        <v>140</v>
      </c>
      <c r="H259" s="118">
        <f t="shared" si="19"/>
        <v>275</v>
      </c>
      <c r="I259" s="177">
        <v>145</v>
      </c>
      <c r="J259" s="177">
        <v>150</v>
      </c>
      <c r="K259" s="177">
        <v>155</v>
      </c>
      <c r="L259" s="177">
        <v>160</v>
      </c>
      <c r="M259" s="118">
        <f>+I259+J259+K259+L259</f>
        <v>610</v>
      </c>
      <c r="N259" s="177">
        <v>165</v>
      </c>
      <c r="O259" s="177">
        <v>170</v>
      </c>
      <c r="P259" s="177">
        <v>175</v>
      </c>
      <c r="Q259" s="177">
        <v>180</v>
      </c>
      <c r="R259" s="118">
        <f>+N259+O259+P259+Q259</f>
        <v>690</v>
      </c>
      <c r="S259" s="177">
        <v>165</v>
      </c>
      <c r="T259" s="177">
        <v>170</v>
      </c>
      <c r="U259" s="177">
        <v>175</v>
      </c>
      <c r="V259" s="177">
        <v>180</v>
      </c>
      <c r="W259" s="118">
        <f>+S259+T259+U259+V259</f>
        <v>690</v>
      </c>
      <c r="X259" s="120">
        <f>+X258+X251</f>
        <v>23012</v>
      </c>
    </row>
    <row r="260" spans="1:24" s="119" customFormat="1" ht="25.5" x14ac:dyDescent="0.2">
      <c r="A260" s="181" t="s">
        <v>642</v>
      </c>
      <c r="B260" s="161"/>
      <c r="C260" s="177"/>
      <c r="D260" s="177"/>
      <c r="E260" s="177"/>
      <c r="F260" s="177">
        <v>0</v>
      </c>
      <c r="G260" s="177">
        <v>750</v>
      </c>
      <c r="H260" s="118">
        <f t="shared" si="19"/>
        <v>750</v>
      </c>
      <c r="I260" s="177">
        <v>800</v>
      </c>
      <c r="J260" s="177">
        <v>850</v>
      </c>
      <c r="K260" s="177">
        <v>600</v>
      </c>
      <c r="L260" s="177">
        <v>400</v>
      </c>
      <c r="M260" s="118">
        <f>+I260+J260+K260+L260</f>
        <v>2650</v>
      </c>
      <c r="N260" s="177">
        <v>400</v>
      </c>
      <c r="O260" s="177">
        <v>500</v>
      </c>
      <c r="P260" s="177"/>
      <c r="Q260" s="177">
        <v>500</v>
      </c>
      <c r="R260" s="118">
        <f>+N260+O260+P260+Q260</f>
        <v>1400</v>
      </c>
      <c r="S260" s="177">
        <v>500</v>
      </c>
      <c r="T260" s="177"/>
      <c r="U260" s="177">
        <v>500</v>
      </c>
      <c r="V260" s="177"/>
      <c r="W260" s="118">
        <f>+S260+T260+U260+V260</f>
        <v>1000</v>
      </c>
    </row>
    <row r="261" spans="1:24" s="119" customFormat="1" ht="25.5" x14ac:dyDescent="0.2">
      <c r="A261" s="179" t="s">
        <v>643</v>
      </c>
      <c r="B261" s="161"/>
      <c r="C261" s="177"/>
      <c r="D261" s="177"/>
      <c r="E261" s="177"/>
      <c r="F261" s="177"/>
      <c r="G261" s="177">
        <v>350</v>
      </c>
      <c r="H261" s="118">
        <f t="shared" si="19"/>
        <v>350</v>
      </c>
      <c r="I261" s="177"/>
      <c r="J261" s="177"/>
      <c r="K261" s="177">
        <v>400</v>
      </c>
      <c r="L261" s="177"/>
      <c r="M261" s="118">
        <f>+I261+J261+K261+L261</f>
        <v>400</v>
      </c>
      <c r="N261" s="177"/>
      <c r="O261" s="177"/>
      <c r="P261" s="177">
        <v>450</v>
      </c>
      <c r="Q261" s="177"/>
      <c r="R261" s="118">
        <f>+N261+O261+P261+Q261</f>
        <v>450</v>
      </c>
      <c r="S261" s="177"/>
      <c r="T261" s="177"/>
      <c r="U261" s="177">
        <v>500</v>
      </c>
      <c r="V261" s="177"/>
      <c r="W261" s="118">
        <f>+S261+T261+U261+V261</f>
        <v>500</v>
      </c>
    </row>
    <row r="262" spans="1:24" s="119" customFormat="1" ht="25.5" x14ac:dyDescent="0.2">
      <c r="A262" s="176" t="s">
        <v>644</v>
      </c>
      <c r="B262" s="161"/>
      <c r="C262" s="177"/>
      <c r="D262" s="177"/>
      <c r="E262" s="177"/>
      <c r="F262" s="177"/>
      <c r="G262" s="177">
        <v>40</v>
      </c>
      <c r="H262" s="118">
        <f t="shared" si="19"/>
        <v>40</v>
      </c>
      <c r="I262" s="177"/>
      <c r="J262" s="177">
        <v>50</v>
      </c>
      <c r="K262" s="177"/>
      <c r="L262" s="177">
        <v>50</v>
      </c>
      <c r="M262" s="118">
        <f>+I262+J262+K262+L262</f>
        <v>100</v>
      </c>
      <c r="N262" s="177"/>
      <c r="O262" s="177">
        <v>50</v>
      </c>
      <c r="P262" s="177"/>
      <c r="Q262" s="177">
        <v>60</v>
      </c>
      <c r="R262" s="118">
        <f>+N262+O262+P262+Q262</f>
        <v>110</v>
      </c>
      <c r="S262" s="177"/>
      <c r="T262" s="177">
        <v>65</v>
      </c>
      <c r="U262" s="177"/>
      <c r="V262" s="177">
        <v>65</v>
      </c>
      <c r="W262" s="118">
        <f>+S262+T262+U262+V262</f>
        <v>130</v>
      </c>
    </row>
    <row r="263" spans="1:24" s="119" customFormat="1" ht="25.5" x14ac:dyDescent="0.2">
      <c r="A263" s="178" t="s">
        <v>645</v>
      </c>
      <c r="B263" s="161"/>
      <c r="C263" s="177"/>
      <c r="D263" s="177"/>
      <c r="E263" s="177"/>
      <c r="F263" s="177"/>
      <c r="G263" s="177"/>
      <c r="H263" s="118">
        <f t="shared" si="19"/>
        <v>0</v>
      </c>
      <c r="I263" s="177">
        <v>40</v>
      </c>
      <c r="J263" s="177"/>
      <c r="K263" s="177">
        <v>40</v>
      </c>
      <c r="L263" s="177"/>
      <c r="M263" s="118">
        <f>+I263+J263+K263+L263</f>
        <v>80</v>
      </c>
      <c r="N263" s="177">
        <v>50</v>
      </c>
      <c r="O263" s="177"/>
      <c r="P263" s="177">
        <v>50</v>
      </c>
      <c r="Q263" s="177"/>
      <c r="R263" s="118">
        <f>+N263+O263+P263+Q263</f>
        <v>100</v>
      </c>
      <c r="S263" s="177">
        <v>60</v>
      </c>
      <c r="T263" s="177"/>
      <c r="U263" s="177">
        <v>60</v>
      </c>
      <c r="V263" s="177"/>
      <c r="W263" s="118">
        <f>+S263+T263+U263+V263</f>
        <v>120</v>
      </c>
    </row>
    <row r="264" spans="1:24" s="119" customFormat="1" ht="12.75" x14ac:dyDescent="0.2">
      <c r="A264" s="182"/>
      <c r="B264" s="161"/>
      <c r="C264" s="177"/>
      <c r="D264" s="177"/>
      <c r="E264" s="177"/>
      <c r="F264" s="177"/>
      <c r="G264" s="177"/>
      <c r="H264" s="129"/>
      <c r="I264" s="177"/>
      <c r="J264" s="177"/>
      <c r="K264" s="177"/>
      <c r="L264" s="177"/>
      <c r="M264" s="129"/>
      <c r="N264" s="177"/>
      <c r="O264" s="177"/>
      <c r="P264" s="177"/>
      <c r="Q264" s="177"/>
      <c r="R264" s="129"/>
    </row>
    <row r="265" spans="1:24" s="187" customFormat="1" ht="25.5" x14ac:dyDescent="0.2">
      <c r="A265" s="183" t="s">
        <v>646</v>
      </c>
      <c r="B265" s="184"/>
      <c r="C265" s="185">
        <f>SUM(C266:C291)</f>
        <v>25704</v>
      </c>
      <c r="D265" s="185">
        <f>SUM(D266:D291)</f>
        <v>13241</v>
      </c>
      <c r="E265" s="185">
        <f>SUM(E266:E291)</f>
        <v>0</v>
      </c>
      <c r="F265" s="185">
        <f>SUM(F266:F291)</f>
        <v>8800</v>
      </c>
      <c r="G265" s="185">
        <f>SUM(G266:G291)</f>
        <v>9000</v>
      </c>
      <c r="H265" s="184">
        <f>SUM(D265:G265)</f>
        <v>31041</v>
      </c>
      <c r="I265" s="185">
        <f>SUM(I266:I291)</f>
        <v>19700</v>
      </c>
      <c r="J265" s="185">
        <f>SUM(J266:J291)</f>
        <v>9700</v>
      </c>
      <c r="K265" s="185">
        <f>SUM(K266:K291)</f>
        <v>17200</v>
      </c>
      <c r="L265" s="185">
        <f>SUM(L266:L291)</f>
        <v>8700</v>
      </c>
      <c r="M265" s="184">
        <f>SUM(I265:L265)</f>
        <v>55300</v>
      </c>
      <c r="N265" s="185">
        <f>SUM(N266:N291)</f>
        <v>31700</v>
      </c>
      <c r="O265" s="185">
        <f>SUM(O266:O291)</f>
        <v>17500</v>
      </c>
      <c r="P265" s="185">
        <f>SUM(P266:P291)</f>
        <v>29000</v>
      </c>
      <c r="Q265" s="185">
        <f>SUM(Q266:Q291)</f>
        <v>16000</v>
      </c>
      <c r="R265" s="184">
        <f>SUM(N265:Q265)</f>
        <v>94200</v>
      </c>
      <c r="S265" s="185">
        <f>SUM(S266:S291)</f>
        <v>3000</v>
      </c>
      <c r="T265" s="185">
        <f>SUM(T266:T291)</f>
        <v>6000</v>
      </c>
      <c r="U265" s="185">
        <f>SUM(U266:U291)</f>
        <v>3000</v>
      </c>
      <c r="V265" s="185">
        <f>SUM(V266:V291)</f>
        <v>0</v>
      </c>
      <c r="W265" s="184">
        <f>SUM(S265:V265)</f>
        <v>12000</v>
      </c>
      <c r="X265" s="186">
        <v>42978</v>
      </c>
    </row>
    <row r="266" spans="1:24" s="119" customFormat="1" ht="204" x14ac:dyDescent="0.2">
      <c r="A266" s="125" t="s">
        <v>647</v>
      </c>
      <c r="B266" s="188" t="s">
        <v>648</v>
      </c>
      <c r="C266" s="127">
        <v>7000</v>
      </c>
      <c r="D266" s="128"/>
      <c r="E266" s="128"/>
      <c r="F266" s="128"/>
      <c r="G266" s="128"/>
      <c r="H266" s="129">
        <f>SUM(C266:G266)</f>
        <v>7000</v>
      </c>
      <c r="I266" s="128"/>
      <c r="J266" s="128"/>
      <c r="K266" s="128"/>
      <c r="L266" s="128"/>
      <c r="M266" s="189"/>
      <c r="N266" s="128"/>
      <c r="O266" s="128"/>
      <c r="P266" s="128"/>
      <c r="Q266" s="128"/>
      <c r="R266" s="189"/>
      <c r="S266" s="128"/>
      <c r="T266" s="128"/>
      <c r="U266" s="128"/>
      <c r="V266" s="128"/>
      <c r="W266" s="189"/>
    </row>
    <row r="267" spans="1:24" s="119" customFormat="1" ht="76.5" x14ac:dyDescent="0.2">
      <c r="A267" s="125" t="s">
        <v>649</v>
      </c>
      <c r="B267" s="188" t="s">
        <v>453</v>
      </c>
      <c r="C267" s="127">
        <v>2704</v>
      </c>
      <c r="D267" s="128"/>
      <c r="E267" s="128"/>
      <c r="F267" s="128"/>
      <c r="G267" s="128"/>
      <c r="H267" s="129">
        <f>SUM(C267:G267)</f>
        <v>2704</v>
      </c>
      <c r="I267" s="128"/>
      <c r="J267" s="128"/>
      <c r="K267" s="128"/>
      <c r="L267" s="128"/>
      <c r="M267" s="189"/>
      <c r="N267" s="128"/>
      <c r="O267" s="128"/>
      <c r="P267" s="128"/>
      <c r="Q267" s="128"/>
      <c r="R267" s="189"/>
      <c r="S267" s="128"/>
      <c r="T267" s="128"/>
      <c r="U267" s="128"/>
      <c r="V267" s="128"/>
      <c r="W267" s="189"/>
    </row>
    <row r="268" spans="1:24" s="119" customFormat="1" ht="165.75" x14ac:dyDescent="0.2">
      <c r="A268" s="132" t="s">
        <v>650</v>
      </c>
      <c r="B268" s="188" t="s">
        <v>651</v>
      </c>
      <c r="C268" s="127"/>
      <c r="D268" s="127">
        <v>10741</v>
      </c>
      <c r="E268" s="128"/>
      <c r="F268" s="128"/>
      <c r="G268" s="128"/>
      <c r="H268" s="129">
        <f t="shared" ref="H268:H291" si="20">SUM(D268:G268)</f>
        <v>10741</v>
      </c>
      <c r="I268" s="128"/>
      <c r="J268" s="128"/>
      <c r="K268" s="128"/>
      <c r="L268" s="128"/>
      <c r="M268" s="189"/>
      <c r="N268" s="128"/>
      <c r="O268" s="128"/>
      <c r="P268" s="128"/>
      <c r="Q268" s="128"/>
      <c r="R268" s="189"/>
      <c r="S268" s="128"/>
      <c r="T268" s="128"/>
      <c r="U268" s="128"/>
      <c r="V268" s="128"/>
      <c r="W268" s="189"/>
    </row>
    <row r="269" spans="1:24" s="119" customFormat="1" ht="369.75" x14ac:dyDescent="0.2">
      <c r="A269" s="190" t="s">
        <v>652</v>
      </c>
      <c r="B269" s="191" t="s">
        <v>653</v>
      </c>
      <c r="C269" s="191"/>
      <c r="D269" s="190"/>
      <c r="E269" s="190"/>
      <c r="F269" s="190"/>
      <c r="G269" s="192" t="s">
        <v>654</v>
      </c>
      <c r="H269" s="129">
        <v>5000</v>
      </c>
      <c r="I269" s="193"/>
      <c r="J269" s="190" t="s">
        <v>655</v>
      </c>
      <c r="K269" s="190" t="s">
        <v>655</v>
      </c>
      <c r="L269" s="190" t="s">
        <v>656</v>
      </c>
      <c r="M269" s="129">
        <f>+J269+K269+L269</f>
        <v>47000</v>
      </c>
      <c r="N269" s="190"/>
      <c r="O269" s="190"/>
      <c r="P269" s="190"/>
      <c r="Q269" s="190"/>
      <c r="R269" s="189"/>
      <c r="S269" s="190"/>
      <c r="T269" s="190"/>
      <c r="U269" s="190"/>
      <c r="V269" s="190"/>
      <c r="W269" s="189"/>
    </row>
    <row r="270" spans="1:24" s="119" customFormat="1" ht="76.5" x14ac:dyDescent="0.2">
      <c r="A270" s="180" t="s">
        <v>657</v>
      </c>
      <c r="B270" s="194" t="s">
        <v>658</v>
      </c>
      <c r="C270" s="194"/>
      <c r="D270" s="180"/>
      <c r="E270" s="180"/>
      <c r="F270" s="180">
        <v>8800</v>
      </c>
      <c r="G270" s="180"/>
      <c r="H270" s="129">
        <f t="shared" si="20"/>
        <v>8800</v>
      </c>
      <c r="I270" s="177"/>
      <c r="J270" s="180"/>
      <c r="K270" s="177"/>
      <c r="L270" s="177"/>
      <c r="M270" s="129"/>
      <c r="N270" s="180"/>
      <c r="O270" s="180"/>
      <c r="P270" s="180">
        <v>18000</v>
      </c>
      <c r="Q270" s="180"/>
      <c r="R270" s="129"/>
      <c r="S270" s="180"/>
      <c r="T270" s="180"/>
      <c r="U270" s="180"/>
      <c r="V270" s="180"/>
      <c r="W270" s="129"/>
    </row>
    <row r="271" spans="1:24" s="119" customFormat="1" ht="12.75" x14ac:dyDescent="0.2">
      <c r="A271" s="180" t="s">
        <v>659</v>
      </c>
      <c r="B271" s="195" t="s">
        <v>660</v>
      </c>
      <c r="C271" s="127"/>
      <c r="D271" s="180"/>
      <c r="E271" s="180"/>
      <c r="F271" s="180"/>
      <c r="G271" s="180"/>
      <c r="H271" s="129">
        <f t="shared" si="20"/>
        <v>0</v>
      </c>
      <c r="I271" s="177"/>
      <c r="J271" s="177"/>
      <c r="K271" s="177"/>
      <c r="L271" s="177"/>
      <c r="M271" s="129"/>
      <c r="N271" s="180"/>
      <c r="O271" s="180">
        <v>3500</v>
      </c>
      <c r="P271" s="180"/>
      <c r="Q271" s="180"/>
      <c r="R271" s="129"/>
      <c r="S271" s="180"/>
      <c r="T271" s="180"/>
      <c r="U271" s="180"/>
      <c r="V271" s="180"/>
      <c r="W271" s="129"/>
    </row>
    <row r="272" spans="1:24" s="119" customFormat="1" ht="127.5" x14ac:dyDescent="0.2">
      <c r="A272" s="180" t="s">
        <v>659</v>
      </c>
      <c r="B272" s="196" t="s">
        <v>661</v>
      </c>
      <c r="C272" s="197">
        <v>12000</v>
      </c>
      <c r="D272" s="177"/>
      <c r="E272" s="177"/>
      <c r="F272" s="177"/>
      <c r="G272" s="177"/>
      <c r="H272" s="129">
        <f>SUM(C272:G272)</f>
        <v>12000</v>
      </c>
      <c r="I272" s="177"/>
      <c r="J272" s="177"/>
      <c r="K272" s="177"/>
      <c r="L272" s="177"/>
      <c r="M272" s="129"/>
      <c r="N272" s="180">
        <v>14000</v>
      </c>
      <c r="O272" s="180"/>
      <c r="P272" s="180"/>
      <c r="Q272" s="180"/>
      <c r="R272" s="129"/>
      <c r="S272" s="180"/>
      <c r="T272" s="180"/>
      <c r="U272" s="180"/>
      <c r="V272" s="180"/>
      <c r="W272" s="129"/>
    </row>
    <row r="273" spans="1:23" s="119" customFormat="1" ht="12.75" x14ac:dyDescent="0.2">
      <c r="A273" s="180" t="s">
        <v>662</v>
      </c>
      <c r="B273" s="196" t="s">
        <v>663</v>
      </c>
      <c r="C273" s="196">
        <v>4000</v>
      </c>
      <c r="D273" s="180"/>
      <c r="E273" s="180"/>
      <c r="F273" s="180"/>
      <c r="G273" s="180"/>
      <c r="H273" s="129">
        <f>SUM(C273:G273)</f>
        <v>4000</v>
      </c>
      <c r="I273" s="180"/>
      <c r="J273" s="180"/>
      <c r="K273" s="180"/>
      <c r="L273" s="180"/>
      <c r="M273" s="129"/>
      <c r="N273" s="180"/>
      <c r="O273" s="180"/>
      <c r="P273" s="180"/>
      <c r="Q273" s="180"/>
      <c r="R273" s="129"/>
      <c r="S273" s="180"/>
      <c r="T273" s="180"/>
      <c r="U273" s="180"/>
      <c r="V273" s="180"/>
      <c r="W273" s="129"/>
    </row>
    <row r="274" spans="1:23" s="119" customFormat="1" ht="12.75" x14ac:dyDescent="0.2">
      <c r="A274" s="180" t="s">
        <v>664</v>
      </c>
      <c r="B274" s="195" t="s">
        <v>665</v>
      </c>
      <c r="C274" s="195"/>
      <c r="D274" s="128"/>
      <c r="E274" s="127"/>
      <c r="F274" s="128"/>
      <c r="G274" s="127">
        <v>8000</v>
      </c>
      <c r="H274" s="129">
        <f t="shared" si="20"/>
        <v>8000</v>
      </c>
      <c r="I274" s="128"/>
      <c r="J274" s="128"/>
      <c r="K274" s="128"/>
      <c r="L274" s="128"/>
      <c r="M274" s="129"/>
      <c r="N274" s="128"/>
      <c r="O274" s="128"/>
      <c r="P274" s="128"/>
      <c r="Q274" s="128"/>
      <c r="R274" s="129"/>
      <c r="S274" s="128"/>
      <c r="T274" s="128"/>
      <c r="U274" s="128"/>
      <c r="V274" s="128"/>
      <c r="W274" s="129"/>
    </row>
    <row r="275" spans="1:23" s="119" customFormat="1" ht="12.75" x14ac:dyDescent="0.2">
      <c r="A275" s="180" t="s">
        <v>664</v>
      </c>
      <c r="B275" s="195" t="s">
        <v>666</v>
      </c>
      <c r="C275" s="195"/>
      <c r="D275" s="180"/>
      <c r="E275" s="180"/>
      <c r="F275" s="180"/>
      <c r="G275" s="180"/>
      <c r="H275" s="129">
        <f t="shared" si="20"/>
        <v>0</v>
      </c>
      <c r="I275" s="127">
        <v>8000</v>
      </c>
      <c r="J275" s="128"/>
      <c r="K275" s="127"/>
      <c r="L275" s="180"/>
      <c r="M275" s="129">
        <f>SUM(I275:L275)</f>
        <v>8000</v>
      </c>
      <c r="N275" s="180"/>
      <c r="O275" s="180"/>
      <c r="P275" s="180"/>
      <c r="Q275" s="180"/>
      <c r="R275" s="129"/>
      <c r="S275" s="180"/>
      <c r="T275" s="180"/>
      <c r="U275" s="180"/>
      <c r="V275" s="180"/>
      <c r="W275" s="129"/>
    </row>
    <row r="276" spans="1:23" s="119" customFormat="1" ht="12.75" x14ac:dyDescent="0.2">
      <c r="A276" s="180" t="s">
        <v>664</v>
      </c>
      <c r="B276" s="195" t="s">
        <v>667</v>
      </c>
      <c r="C276" s="195"/>
      <c r="D276" s="180"/>
      <c r="E276" s="180"/>
      <c r="F276" s="180"/>
      <c r="G276" s="180"/>
      <c r="H276" s="129">
        <f t="shared" si="20"/>
        <v>0</v>
      </c>
      <c r="I276" s="180"/>
      <c r="J276" s="180">
        <v>6000</v>
      </c>
      <c r="K276" s="180"/>
      <c r="L276" s="180"/>
      <c r="M276" s="129">
        <f>SUM(I276:L276)</f>
        <v>6000</v>
      </c>
      <c r="N276" s="180"/>
      <c r="O276" s="180"/>
      <c r="P276" s="180"/>
      <c r="Q276" s="180"/>
      <c r="R276" s="129"/>
      <c r="S276" s="180"/>
      <c r="T276" s="180"/>
      <c r="U276" s="180"/>
      <c r="V276" s="180"/>
      <c r="W276" s="129"/>
    </row>
    <row r="277" spans="1:23" s="119" customFormat="1" ht="12.75" x14ac:dyDescent="0.2">
      <c r="A277" s="180" t="s">
        <v>664</v>
      </c>
      <c r="B277" s="195" t="s">
        <v>668</v>
      </c>
      <c r="C277" s="195"/>
      <c r="D277" s="180"/>
      <c r="E277" s="180"/>
      <c r="F277" s="180"/>
      <c r="G277" s="180"/>
      <c r="H277" s="129">
        <f t="shared" si="20"/>
        <v>0</v>
      </c>
      <c r="I277" s="180"/>
      <c r="J277" s="180"/>
      <c r="K277" s="180">
        <v>6000</v>
      </c>
      <c r="L277" s="180"/>
      <c r="M277" s="129">
        <f>SUM(I277:L277)</f>
        <v>6000</v>
      </c>
      <c r="N277" s="180"/>
      <c r="O277" s="180"/>
      <c r="P277" s="180"/>
      <c r="Q277" s="180"/>
      <c r="R277" s="129"/>
      <c r="S277" s="180"/>
      <c r="T277" s="180"/>
      <c r="U277" s="180"/>
      <c r="V277" s="180"/>
      <c r="W277" s="129"/>
    </row>
    <row r="278" spans="1:23" s="119" customFormat="1" ht="12.75" x14ac:dyDescent="0.2">
      <c r="A278" s="125" t="s">
        <v>669</v>
      </c>
      <c r="B278" s="195"/>
      <c r="C278" s="195"/>
      <c r="D278" s="180"/>
      <c r="E278" s="180"/>
      <c r="F278" s="180"/>
      <c r="G278" s="180"/>
      <c r="H278" s="129">
        <f t="shared" si="20"/>
        <v>0</v>
      </c>
      <c r="I278" s="180"/>
      <c r="J278" s="180"/>
      <c r="K278" s="182"/>
      <c r="L278" s="180"/>
      <c r="M278" s="129"/>
      <c r="N278" s="180">
        <v>6500</v>
      </c>
      <c r="O278" s="180">
        <v>6500</v>
      </c>
      <c r="P278" s="180">
        <v>6500</v>
      </c>
      <c r="Q278" s="180">
        <v>6500</v>
      </c>
      <c r="R278" s="129"/>
      <c r="S278" s="180"/>
      <c r="T278" s="180"/>
      <c r="U278" s="180"/>
      <c r="V278" s="180"/>
      <c r="W278" s="129"/>
    </row>
    <row r="279" spans="1:23" s="119" customFormat="1" ht="89.25" x14ac:dyDescent="0.2">
      <c r="A279" s="125" t="s">
        <v>670</v>
      </c>
      <c r="B279" s="196" t="s">
        <v>671</v>
      </c>
      <c r="C279" s="196"/>
      <c r="D279" s="180"/>
      <c r="E279" s="180"/>
      <c r="F279" s="180"/>
      <c r="G279" s="180">
        <v>1000</v>
      </c>
      <c r="H279" s="129">
        <f t="shared" si="20"/>
        <v>1000</v>
      </c>
      <c r="I279" s="180">
        <v>1500</v>
      </c>
      <c r="J279" s="180"/>
      <c r="K279" s="180">
        <v>1500</v>
      </c>
      <c r="L279" s="180"/>
      <c r="M279" s="129">
        <f>SUM(I279:L279)</f>
        <v>3000</v>
      </c>
      <c r="N279" s="180"/>
      <c r="O279" s="180"/>
      <c r="P279" s="180"/>
      <c r="Q279" s="180"/>
      <c r="R279" s="129"/>
      <c r="S279" s="180"/>
      <c r="T279" s="180"/>
      <c r="U279" s="180"/>
      <c r="V279" s="180"/>
      <c r="W279" s="129"/>
    </row>
    <row r="280" spans="1:23" s="119" customFormat="1" ht="12.75" x14ac:dyDescent="0.2">
      <c r="A280" s="125" t="s">
        <v>672</v>
      </c>
      <c r="B280" s="195"/>
      <c r="C280" s="195"/>
      <c r="D280" s="180"/>
      <c r="E280" s="180"/>
      <c r="F280" s="180"/>
      <c r="G280" s="180"/>
      <c r="H280" s="129">
        <f t="shared" si="20"/>
        <v>0</v>
      </c>
      <c r="I280" s="180">
        <v>200</v>
      </c>
      <c r="J280" s="180">
        <v>200</v>
      </c>
      <c r="K280" s="180">
        <v>200</v>
      </c>
      <c r="L280" s="180">
        <v>200</v>
      </c>
      <c r="M280" s="129"/>
      <c r="N280" s="180">
        <v>200</v>
      </c>
      <c r="O280" s="180"/>
      <c r="P280" s="180"/>
      <c r="Q280" s="180"/>
      <c r="R280" s="129"/>
      <c r="S280" s="180"/>
      <c r="T280" s="180"/>
      <c r="U280" s="180"/>
      <c r="V280" s="180"/>
      <c r="W280" s="129"/>
    </row>
    <row r="281" spans="1:23" s="119" customFormat="1" ht="12.75" x14ac:dyDescent="0.2">
      <c r="A281" s="125" t="s">
        <v>673</v>
      </c>
      <c r="B281" s="195"/>
      <c r="C281" s="195"/>
      <c r="D281" s="177"/>
      <c r="E281" s="177"/>
      <c r="F281" s="177"/>
      <c r="G281" s="177"/>
      <c r="H281" s="129">
        <f t="shared" si="20"/>
        <v>0</v>
      </c>
      <c r="I281" s="180"/>
      <c r="J281" s="180"/>
      <c r="K281" s="180"/>
      <c r="L281" s="180"/>
      <c r="M281" s="129"/>
      <c r="N281" s="180"/>
      <c r="O281" s="180"/>
      <c r="P281" s="180"/>
      <c r="Q281" s="180">
        <v>6000</v>
      </c>
      <c r="R281" s="129"/>
      <c r="S281" s="180"/>
      <c r="T281" s="180"/>
      <c r="U281" s="180"/>
      <c r="V281" s="180"/>
      <c r="W281" s="129"/>
    </row>
    <row r="282" spans="1:23" s="119" customFormat="1" ht="89.25" x14ac:dyDescent="0.2">
      <c r="A282" s="125" t="s">
        <v>674</v>
      </c>
      <c r="B282" s="196" t="s">
        <v>671</v>
      </c>
      <c r="C282" s="196"/>
      <c r="D282" s="177"/>
      <c r="E282" s="177"/>
      <c r="F282" s="177"/>
      <c r="G282" s="177"/>
      <c r="H282" s="129">
        <f t="shared" si="20"/>
        <v>0</v>
      </c>
      <c r="I282" s="180"/>
      <c r="J282" s="180"/>
      <c r="K282" s="180"/>
      <c r="L282" s="180"/>
      <c r="M282" s="129"/>
      <c r="N282" s="180">
        <v>3000</v>
      </c>
      <c r="O282" s="180">
        <v>6000</v>
      </c>
      <c r="P282" s="180">
        <v>3000</v>
      </c>
      <c r="Q282" s="180"/>
      <c r="R282" s="129">
        <f>SUM(N282:Q282)</f>
        <v>12000</v>
      </c>
      <c r="S282" s="180">
        <v>3000</v>
      </c>
      <c r="T282" s="180">
        <v>6000</v>
      </c>
      <c r="U282" s="180">
        <v>3000</v>
      </c>
      <c r="V282" s="180"/>
      <c r="W282" s="129">
        <f>SUM(S282:V282)</f>
        <v>12000</v>
      </c>
    </row>
    <row r="283" spans="1:23" s="119" customFormat="1" ht="12.75" x14ac:dyDescent="0.2">
      <c r="A283" s="125" t="s">
        <v>675</v>
      </c>
      <c r="B283" s="133"/>
      <c r="C283" s="133"/>
      <c r="D283" s="133"/>
      <c r="E283" s="133"/>
      <c r="F283" s="133"/>
      <c r="G283" s="133"/>
      <c r="H283" s="129">
        <f t="shared" si="20"/>
        <v>0</v>
      </c>
      <c r="I283" s="133"/>
      <c r="J283" s="133"/>
      <c r="K283" s="133">
        <v>4000</v>
      </c>
      <c r="L283" s="133"/>
      <c r="M283" s="129">
        <f t="shared" ref="M283:M289" si="21">SUM(I283:L283)</f>
        <v>4000</v>
      </c>
      <c r="N283" s="133">
        <v>4000</v>
      </c>
      <c r="O283" s="133"/>
      <c r="P283" s="133"/>
      <c r="Q283" s="133"/>
      <c r="R283" s="129"/>
      <c r="S283" s="133"/>
      <c r="T283" s="133"/>
      <c r="U283" s="133"/>
      <c r="V283" s="133"/>
      <c r="W283" s="129"/>
    </row>
    <row r="284" spans="1:23" s="119" customFormat="1" ht="25.5" x14ac:dyDescent="0.2">
      <c r="A284" s="125" t="s">
        <v>676</v>
      </c>
      <c r="B284" s="133"/>
      <c r="C284" s="133"/>
      <c r="D284" s="133"/>
      <c r="E284" s="133"/>
      <c r="F284" s="133"/>
      <c r="G284" s="133"/>
      <c r="H284" s="129">
        <f t="shared" si="20"/>
        <v>0</v>
      </c>
      <c r="I284" s="133"/>
      <c r="J284" s="133"/>
      <c r="K284" s="133">
        <v>4000</v>
      </c>
      <c r="L284" s="133"/>
      <c r="M284" s="129">
        <f t="shared" si="21"/>
        <v>4000</v>
      </c>
      <c r="N284" s="133"/>
      <c r="O284" s="133"/>
      <c r="P284" s="133"/>
      <c r="Q284" s="133"/>
      <c r="R284" s="129"/>
      <c r="S284" s="133"/>
      <c r="T284" s="133"/>
      <c r="U284" s="133"/>
      <c r="V284" s="133"/>
      <c r="W284" s="129"/>
    </row>
    <row r="285" spans="1:23" s="119" customFormat="1" ht="12.75" x14ac:dyDescent="0.2">
      <c r="A285" s="151" t="s">
        <v>677</v>
      </c>
      <c r="B285" s="133"/>
      <c r="C285" s="133"/>
      <c r="D285" s="133"/>
      <c r="E285" s="133"/>
      <c r="F285" s="133"/>
      <c r="G285" s="133"/>
      <c r="H285" s="129">
        <f t="shared" si="20"/>
        <v>0</v>
      </c>
      <c r="I285" s="133"/>
      <c r="J285" s="133"/>
      <c r="K285" s="133"/>
      <c r="L285" s="133">
        <v>5000</v>
      </c>
      <c r="M285" s="129">
        <f t="shared" si="21"/>
        <v>5000</v>
      </c>
      <c r="N285" s="133"/>
      <c r="O285" s="133"/>
      <c r="P285" s="133"/>
      <c r="Q285" s="133"/>
      <c r="R285" s="129"/>
      <c r="S285" s="133"/>
      <c r="T285" s="133"/>
      <c r="U285" s="133"/>
      <c r="V285" s="133"/>
      <c r="W285" s="129"/>
    </row>
    <row r="286" spans="1:23" s="119" customFormat="1" ht="12.75" x14ac:dyDescent="0.2">
      <c r="A286" s="151" t="s">
        <v>678</v>
      </c>
      <c r="B286" s="133"/>
      <c r="C286" s="133"/>
      <c r="D286" s="133"/>
      <c r="E286" s="133"/>
      <c r="F286" s="133"/>
      <c r="G286" s="133"/>
      <c r="H286" s="129">
        <f t="shared" si="20"/>
        <v>0</v>
      </c>
      <c r="I286" s="133">
        <v>3000</v>
      </c>
      <c r="J286" s="133"/>
      <c r="K286" s="133"/>
      <c r="L286" s="133"/>
      <c r="M286" s="129">
        <f t="shared" si="21"/>
        <v>3000</v>
      </c>
      <c r="N286" s="133"/>
      <c r="O286" s="133"/>
      <c r="P286" s="133"/>
      <c r="Q286" s="133"/>
      <c r="R286" s="129"/>
      <c r="S286" s="133"/>
      <c r="T286" s="133"/>
      <c r="U286" s="133"/>
      <c r="V286" s="133"/>
      <c r="W286" s="129"/>
    </row>
    <row r="287" spans="1:23" s="119" customFormat="1" ht="12.75" x14ac:dyDescent="0.2">
      <c r="A287" s="151" t="s">
        <v>679</v>
      </c>
      <c r="B287" s="133"/>
      <c r="C287" s="133"/>
      <c r="D287" s="133"/>
      <c r="E287" s="133"/>
      <c r="F287" s="133"/>
      <c r="G287" s="133"/>
      <c r="H287" s="129">
        <f t="shared" si="20"/>
        <v>0</v>
      </c>
      <c r="I287" s="133">
        <v>3000</v>
      </c>
      <c r="J287" s="133"/>
      <c r="K287" s="133"/>
      <c r="L287" s="133"/>
      <c r="M287" s="129">
        <f t="shared" si="21"/>
        <v>3000</v>
      </c>
      <c r="N287" s="133"/>
      <c r="O287" s="133"/>
      <c r="P287" s="133"/>
      <c r="Q287" s="133"/>
      <c r="R287" s="129"/>
      <c r="S287" s="133"/>
      <c r="T287" s="133"/>
      <c r="U287" s="133"/>
      <c r="V287" s="133"/>
      <c r="W287" s="129"/>
    </row>
    <row r="288" spans="1:23" s="119" customFormat="1" ht="25.5" x14ac:dyDescent="0.2">
      <c r="A288" s="151" t="s">
        <v>680</v>
      </c>
      <c r="B288" s="127" t="s">
        <v>681</v>
      </c>
      <c r="C288" s="127"/>
      <c r="D288" s="180"/>
      <c r="E288" s="180"/>
      <c r="F288" s="177"/>
      <c r="G288" s="177"/>
      <c r="H288" s="129">
        <f t="shared" si="20"/>
        <v>0</v>
      </c>
      <c r="I288" s="180">
        <v>1500</v>
      </c>
      <c r="J288" s="180">
        <v>1500</v>
      </c>
      <c r="K288" s="180">
        <v>1500</v>
      </c>
      <c r="L288" s="180">
        <v>1500</v>
      </c>
      <c r="M288" s="129">
        <f t="shared" si="21"/>
        <v>6000</v>
      </c>
      <c r="N288" s="180"/>
      <c r="O288" s="180"/>
      <c r="P288" s="180"/>
      <c r="Q288" s="180"/>
      <c r="R288" s="129"/>
      <c r="S288" s="180"/>
      <c r="T288" s="180"/>
      <c r="U288" s="180"/>
      <c r="V288" s="180"/>
      <c r="W288" s="129"/>
    </row>
    <row r="289" spans="1:24" s="119" customFormat="1" ht="25.5" x14ac:dyDescent="0.2">
      <c r="A289" s="151" t="s">
        <v>682</v>
      </c>
      <c r="B289" s="127" t="s">
        <v>681</v>
      </c>
      <c r="C289" s="127"/>
      <c r="D289" s="180"/>
      <c r="E289" s="180"/>
      <c r="F289" s="177"/>
      <c r="G289" s="177"/>
      <c r="H289" s="129">
        <f t="shared" si="20"/>
        <v>0</v>
      </c>
      <c r="I289" s="180"/>
      <c r="J289" s="180">
        <v>2000</v>
      </c>
      <c r="K289" s="180"/>
      <c r="L289" s="180">
        <v>2000</v>
      </c>
      <c r="M289" s="129">
        <f t="shared" si="21"/>
        <v>4000</v>
      </c>
      <c r="N289" s="180"/>
      <c r="O289" s="180"/>
      <c r="P289" s="180"/>
      <c r="Q289" s="180">
        <v>2000</v>
      </c>
      <c r="R289" s="129"/>
      <c r="S289" s="180"/>
      <c r="T289" s="180"/>
      <c r="U289" s="180"/>
      <c r="V289" s="180"/>
      <c r="W289" s="129"/>
    </row>
    <row r="290" spans="1:24" s="119" customFormat="1" ht="12.75" x14ac:dyDescent="0.2">
      <c r="A290" s="151" t="s">
        <v>683</v>
      </c>
      <c r="B290" s="127"/>
      <c r="C290" s="127"/>
      <c r="D290" s="180">
        <v>2500</v>
      </c>
      <c r="E290" s="180"/>
      <c r="F290" s="177"/>
      <c r="G290" s="177"/>
      <c r="H290" s="129">
        <f t="shared" si="20"/>
        <v>2500</v>
      </c>
      <c r="I290" s="180">
        <v>2500</v>
      </c>
      <c r="J290" s="180"/>
      <c r="K290" s="180"/>
      <c r="L290" s="180"/>
      <c r="M290" s="129"/>
      <c r="N290" s="180">
        <v>2500</v>
      </c>
      <c r="O290" s="180"/>
      <c r="P290" s="180"/>
      <c r="Q290" s="180"/>
      <c r="R290" s="129"/>
      <c r="S290" s="180"/>
      <c r="T290" s="180"/>
      <c r="U290" s="180"/>
      <c r="V290" s="180"/>
      <c r="W290" s="129"/>
    </row>
    <row r="291" spans="1:24" s="119" customFormat="1" ht="12.75" x14ac:dyDescent="0.2">
      <c r="A291" s="151" t="s">
        <v>684</v>
      </c>
      <c r="B291" s="127" t="s">
        <v>685</v>
      </c>
      <c r="C291" s="180"/>
      <c r="D291" s="180"/>
      <c r="E291" s="177"/>
      <c r="F291" s="177"/>
      <c r="G291" s="177"/>
      <c r="H291" s="129">
        <f t="shared" si="20"/>
        <v>0</v>
      </c>
      <c r="I291" s="180"/>
      <c r="J291" s="180"/>
      <c r="K291" s="180"/>
      <c r="L291" s="180"/>
      <c r="M291" s="129"/>
      <c r="N291" s="180">
        <v>1500</v>
      </c>
      <c r="O291" s="180">
        <v>1500</v>
      </c>
      <c r="P291" s="180">
        <v>1500</v>
      </c>
      <c r="Q291" s="180">
        <v>1500</v>
      </c>
      <c r="R291" s="129"/>
      <c r="S291" s="180"/>
      <c r="T291" s="180"/>
      <c r="U291" s="180"/>
      <c r="V291" s="180"/>
      <c r="W291" s="129"/>
    </row>
    <row r="292" spans="1:24" s="187" customFormat="1" ht="25.5" x14ac:dyDescent="0.2">
      <c r="A292" s="183" t="s">
        <v>686</v>
      </c>
      <c r="B292" s="184"/>
      <c r="C292" s="185">
        <v>107</v>
      </c>
      <c r="D292" s="185">
        <v>450</v>
      </c>
      <c r="E292" s="185">
        <v>0</v>
      </c>
      <c r="F292" s="185">
        <v>3600</v>
      </c>
      <c r="G292" s="185">
        <v>2500</v>
      </c>
      <c r="H292" s="184">
        <f>SUM(D292:G292)</f>
        <v>6550</v>
      </c>
      <c r="I292" s="185">
        <v>2000</v>
      </c>
      <c r="J292" s="185">
        <v>3500</v>
      </c>
      <c r="K292" s="185">
        <v>2000</v>
      </c>
      <c r="L292" s="185">
        <v>3500</v>
      </c>
      <c r="M292" s="184">
        <f>SUM(I292:L292)</f>
        <v>11000</v>
      </c>
      <c r="N292" s="185">
        <v>2000</v>
      </c>
      <c r="O292" s="185">
        <v>3500</v>
      </c>
      <c r="P292" s="185">
        <v>2000</v>
      </c>
      <c r="Q292" s="185">
        <v>3500</v>
      </c>
      <c r="R292" s="184">
        <f>SUM(N292:Q292)</f>
        <v>11000</v>
      </c>
      <c r="S292" s="185">
        <v>2000</v>
      </c>
      <c r="T292" s="185">
        <v>3500</v>
      </c>
      <c r="U292" s="185">
        <v>2000</v>
      </c>
      <c r="V292" s="185">
        <v>3500</v>
      </c>
      <c r="W292" s="184">
        <f>SUM(S292:V292)</f>
        <v>11000</v>
      </c>
      <c r="X292" s="186"/>
    </row>
    <row r="293" spans="1:24" s="119" customFormat="1" ht="12.75" x14ac:dyDescent="0.2">
      <c r="A293" s="195"/>
      <c r="B293" s="195"/>
      <c r="C293" s="177"/>
      <c r="D293" s="177"/>
      <c r="E293" s="177"/>
      <c r="F293" s="177"/>
      <c r="G293" s="177"/>
      <c r="H293" s="129"/>
      <c r="I293" s="177"/>
      <c r="J293" s="177"/>
      <c r="K293" s="177"/>
      <c r="L293" s="177"/>
      <c r="M293" s="129"/>
      <c r="N293" s="177"/>
      <c r="O293" s="177"/>
      <c r="P293" s="177"/>
      <c r="Q293" s="177"/>
      <c r="R293" s="129"/>
      <c r="S293" s="177"/>
      <c r="T293" s="177"/>
      <c r="U293" s="177"/>
      <c r="V293" s="177"/>
      <c r="W293" s="129"/>
    </row>
    <row r="294" spans="1:24" s="187" customFormat="1" ht="12.75" x14ac:dyDescent="0.2">
      <c r="A294" s="183" t="s">
        <v>687</v>
      </c>
      <c r="B294" s="184"/>
      <c r="C294" s="185">
        <f>SUM(C295:C353)</f>
        <v>2101</v>
      </c>
      <c r="D294" s="185">
        <f>SUM(D295:D353)</f>
        <v>18535</v>
      </c>
      <c r="E294" s="185">
        <f>SUM(E295:E353)</f>
        <v>8770</v>
      </c>
      <c r="F294" s="185">
        <f>SUM(F295:F353)</f>
        <v>16348</v>
      </c>
      <c r="G294" s="185">
        <f>SUM(G295:G353)</f>
        <v>13232</v>
      </c>
      <c r="H294" s="184">
        <f>SUM(D294:G294)</f>
        <v>56885</v>
      </c>
      <c r="I294" s="185">
        <f>SUM(I295:I353)</f>
        <v>0</v>
      </c>
      <c r="J294" s="185">
        <f>SUM(J295:J353)</f>
        <v>1850</v>
      </c>
      <c r="K294" s="185">
        <f>SUM(K295:K353)</f>
        <v>18450</v>
      </c>
      <c r="L294" s="185">
        <f>SUM(L295:L353)</f>
        <v>16600</v>
      </c>
      <c r="M294" s="184">
        <f>SUM(I294:L294)</f>
        <v>36900</v>
      </c>
      <c r="N294" s="185">
        <f>SUM(N295:N353)</f>
        <v>7900</v>
      </c>
      <c r="O294" s="185">
        <f>SUM(O295:O353)</f>
        <v>14050</v>
      </c>
      <c r="P294" s="185">
        <f>SUM(P295:P353)</f>
        <v>11900</v>
      </c>
      <c r="Q294" s="185">
        <f>SUM(Q295:Q353)</f>
        <v>12750</v>
      </c>
      <c r="R294" s="184">
        <f>SUM(N294:Q294)</f>
        <v>46600</v>
      </c>
      <c r="S294" s="185">
        <f>SUM(S295:S353)</f>
        <v>12300</v>
      </c>
      <c r="T294" s="185">
        <f>SUM(T295:T353)</f>
        <v>12300</v>
      </c>
      <c r="U294" s="185">
        <f>SUM(U295:U353)</f>
        <v>2300</v>
      </c>
      <c r="V294" s="185">
        <f>SUM(V295:V353)</f>
        <v>2300</v>
      </c>
      <c r="W294" s="184">
        <f>SUM(S294:V294)</f>
        <v>29200</v>
      </c>
      <c r="X294" s="186"/>
    </row>
    <row r="295" spans="1:24" s="173" customFormat="1" ht="12.75" x14ac:dyDescent="0.2">
      <c r="A295" s="198" t="s">
        <v>688</v>
      </c>
      <c r="B295" s="199" t="s">
        <v>689</v>
      </c>
      <c r="C295" s="200">
        <v>1511</v>
      </c>
      <c r="D295" s="200"/>
      <c r="E295" s="200"/>
      <c r="F295" s="200"/>
      <c r="G295" s="200"/>
      <c r="H295" s="129">
        <f>SUM(D295:G295)</f>
        <v>0</v>
      </c>
      <c r="I295" s="200"/>
      <c r="J295" s="200"/>
      <c r="K295" s="200"/>
      <c r="L295" s="200"/>
      <c r="M295" s="129">
        <f t="shared" ref="M295:M351" si="22">SUM(I295:L295)</f>
        <v>0</v>
      </c>
      <c r="N295" s="200"/>
      <c r="O295" s="200"/>
      <c r="P295" s="200"/>
      <c r="Q295" s="200"/>
      <c r="R295" s="129">
        <f t="shared" ref="R295:R351" si="23">SUM(N295:Q295)</f>
        <v>0</v>
      </c>
      <c r="S295" s="200"/>
      <c r="T295" s="200"/>
      <c r="U295" s="200"/>
      <c r="V295" s="200"/>
      <c r="W295" s="129">
        <f t="shared" ref="W295:W351" si="24">SUM(S295:V295)</f>
        <v>0</v>
      </c>
    </row>
    <row r="296" spans="1:24" s="173" customFormat="1" ht="12.75" x14ac:dyDescent="0.2">
      <c r="A296" s="201" t="s">
        <v>690</v>
      </c>
      <c r="B296" s="202" t="s">
        <v>435</v>
      </c>
      <c r="C296" s="200">
        <v>342</v>
      </c>
      <c r="D296" s="200"/>
      <c r="E296" s="200"/>
      <c r="F296" s="200"/>
      <c r="G296" s="200"/>
      <c r="H296" s="129">
        <f t="shared" ref="H296:H355" si="25">SUM(D296:G296)</f>
        <v>0</v>
      </c>
      <c r="I296" s="200"/>
      <c r="J296" s="200"/>
      <c r="K296" s="200"/>
      <c r="L296" s="200"/>
      <c r="M296" s="129">
        <f t="shared" si="22"/>
        <v>0</v>
      </c>
      <c r="N296" s="200"/>
      <c r="O296" s="200"/>
      <c r="P296" s="200"/>
      <c r="Q296" s="200"/>
      <c r="R296" s="129">
        <f t="shared" si="23"/>
        <v>0</v>
      </c>
      <c r="S296" s="200"/>
      <c r="T296" s="200"/>
      <c r="U296" s="200"/>
      <c r="V296" s="200"/>
      <c r="W296" s="129">
        <f t="shared" si="24"/>
        <v>0</v>
      </c>
    </row>
    <row r="297" spans="1:24" s="173" customFormat="1" ht="12.75" x14ac:dyDescent="0.2">
      <c r="A297" s="201" t="s">
        <v>688</v>
      </c>
      <c r="B297" s="202" t="s">
        <v>468</v>
      </c>
      <c r="C297" s="200"/>
      <c r="D297" s="200">
        <v>2089</v>
      </c>
      <c r="E297" s="200"/>
      <c r="F297" s="200"/>
      <c r="G297" s="200"/>
      <c r="H297" s="129">
        <f t="shared" si="25"/>
        <v>2089</v>
      </c>
      <c r="I297" s="200"/>
      <c r="J297" s="200"/>
      <c r="K297" s="200"/>
      <c r="L297" s="200"/>
      <c r="M297" s="129">
        <f t="shared" si="22"/>
        <v>0</v>
      </c>
      <c r="N297" s="200"/>
      <c r="O297" s="200"/>
      <c r="P297" s="200"/>
      <c r="Q297" s="200"/>
      <c r="R297" s="129">
        <f t="shared" si="23"/>
        <v>0</v>
      </c>
      <c r="S297" s="200"/>
      <c r="T297" s="200"/>
      <c r="U297" s="200"/>
      <c r="V297" s="200"/>
      <c r="W297" s="129">
        <f t="shared" si="24"/>
        <v>0</v>
      </c>
    </row>
    <row r="298" spans="1:24" s="173" customFormat="1" ht="12.75" x14ac:dyDescent="0.2">
      <c r="A298" s="201" t="s">
        <v>688</v>
      </c>
      <c r="B298" s="202" t="s">
        <v>454</v>
      </c>
      <c r="C298" s="200"/>
      <c r="D298" s="200">
        <v>2211</v>
      </c>
      <c r="E298" s="200"/>
      <c r="F298" s="200"/>
      <c r="G298" s="200"/>
      <c r="H298" s="129">
        <f t="shared" si="25"/>
        <v>2211</v>
      </c>
      <c r="I298" s="200"/>
      <c r="J298" s="200"/>
      <c r="K298" s="200"/>
      <c r="L298" s="200"/>
      <c r="M298" s="129">
        <f t="shared" si="22"/>
        <v>0</v>
      </c>
      <c r="N298" s="200"/>
      <c r="O298" s="200"/>
      <c r="P298" s="200"/>
      <c r="Q298" s="200"/>
      <c r="R298" s="129">
        <f t="shared" si="23"/>
        <v>0</v>
      </c>
      <c r="S298" s="200"/>
      <c r="T298" s="200"/>
      <c r="U298" s="200"/>
      <c r="V298" s="200"/>
      <c r="W298" s="129">
        <f t="shared" si="24"/>
        <v>0</v>
      </c>
    </row>
    <row r="299" spans="1:24" s="173" customFormat="1" ht="12.75" x14ac:dyDescent="0.2">
      <c r="A299" s="201" t="s">
        <v>688</v>
      </c>
      <c r="B299" s="202" t="s">
        <v>691</v>
      </c>
      <c r="C299" s="200"/>
      <c r="D299" s="200">
        <v>2222</v>
      </c>
      <c r="E299" s="200"/>
      <c r="F299" s="200"/>
      <c r="G299" s="200"/>
      <c r="H299" s="129">
        <f t="shared" si="25"/>
        <v>2222</v>
      </c>
      <c r="I299" s="200"/>
      <c r="J299" s="200"/>
      <c r="K299" s="200"/>
      <c r="L299" s="200"/>
      <c r="M299" s="129">
        <f t="shared" si="22"/>
        <v>0</v>
      </c>
      <c r="N299" s="200"/>
      <c r="O299" s="200"/>
      <c r="P299" s="200"/>
      <c r="Q299" s="200"/>
      <c r="R299" s="129">
        <f t="shared" si="23"/>
        <v>0</v>
      </c>
      <c r="S299" s="200"/>
      <c r="T299" s="200"/>
      <c r="U299" s="200"/>
      <c r="V299" s="200"/>
      <c r="W299" s="129">
        <f t="shared" si="24"/>
        <v>0</v>
      </c>
    </row>
    <row r="300" spans="1:24" s="173" customFormat="1" ht="12.75" x14ac:dyDescent="0.2">
      <c r="A300" s="201" t="s">
        <v>690</v>
      </c>
      <c r="B300" s="202" t="s">
        <v>467</v>
      </c>
      <c r="C300" s="200"/>
      <c r="D300" s="200">
        <v>304</v>
      </c>
      <c r="E300" s="200"/>
      <c r="F300" s="200"/>
      <c r="G300" s="200"/>
      <c r="H300" s="129">
        <f t="shared" si="25"/>
        <v>304</v>
      </c>
      <c r="I300" s="200"/>
      <c r="J300" s="200"/>
      <c r="K300" s="200"/>
      <c r="L300" s="200"/>
      <c r="M300" s="129">
        <f t="shared" si="22"/>
        <v>0</v>
      </c>
      <c r="N300" s="200"/>
      <c r="O300" s="200"/>
      <c r="P300" s="200"/>
      <c r="Q300" s="200"/>
      <c r="R300" s="129">
        <f t="shared" si="23"/>
        <v>0</v>
      </c>
      <c r="S300" s="200"/>
      <c r="T300" s="200"/>
      <c r="U300" s="200"/>
      <c r="V300" s="200"/>
      <c r="W300" s="129">
        <f t="shared" si="24"/>
        <v>0</v>
      </c>
    </row>
    <row r="301" spans="1:24" s="173" customFormat="1" ht="12.75" x14ac:dyDescent="0.2">
      <c r="A301" s="201" t="s">
        <v>688</v>
      </c>
      <c r="B301" s="202" t="s">
        <v>460</v>
      </c>
      <c r="C301" s="200"/>
      <c r="D301" s="200"/>
      <c r="E301" s="200"/>
      <c r="F301" s="200"/>
      <c r="G301" s="200"/>
      <c r="H301" s="129">
        <f t="shared" si="25"/>
        <v>0</v>
      </c>
      <c r="I301" s="200"/>
      <c r="J301" s="200"/>
      <c r="K301" s="200"/>
      <c r="L301" s="200"/>
      <c r="M301" s="129">
        <f t="shared" si="22"/>
        <v>0</v>
      </c>
      <c r="N301" s="200">
        <v>1850</v>
      </c>
      <c r="O301" s="200">
        <v>1850</v>
      </c>
      <c r="P301" s="200"/>
      <c r="Q301" s="200"/>
      <c r="R301" s="129">
        <f t="shared" si="23"/>
        <v>3700</v>
      </c>
      <c r="S301" s="200"/>
      <c r="T301" s="200"/>
      <c r="U301" s="200"/>
      <c r="V301" s="200"/>
      <c r="W301" s="129">
        <f t="shared" si="24"/>
        <v>0</v>
      </c>
    </row>
    <row r="302" spans="1:24" s="173" customFormat="1" ht="12.75" x14ac:dyDescent="0.2">
      <c r="A302" s="201" t="s">
        <v>688</v>
      </c>
      <c r="B302" s="202" t="s">
        <v>441</v>
      </c>
      <c r="C302" s="200"/>
      <c r="D302" s="200"/>
      <c r="E302" s="200"/>
      <c r="F302" s="200"/>
      <c r="G302" s="200"/>
      <c r="H302" s="129">
        <f t="shared" si="25"/>
        <v>0</v>
      </c>
      <c r="I302" s="200"/>
      <c r="J302" s="200"/>
      <c r="K302" s="200"/>
      <c r="L302" s="200"/>
      <c r="M302" s="129"/>
      <c r="N302" s="200">
        <v>1850</v>
      </c>
      <c r="O302" s="200">
        <v>1850</v>
      </c>
      <c r="P302" s="200"/>
      <c r="Q302" s="200"/>
      <c r="R302" s="129">
        <f t="shared" si="23"/>
        <v>3700</v>
      </c>
      <c r="S302" s="200"/>
      <c r="T302" s="200"/>
      <c r="U302" s="200"/>
      <c r="V302" s="200"/>
      <c r="W302" s="129">
        <f t="shared" si="24"/>
        <v>0</v>
      </c>
    </row>
    <row r="303" spans="1:24" s="173" customFormat="1" ht="12.75" x14ac:dyDescent="0.2">
      <c r="A303" s="201" t="s">
        <v>688</v>
      </c>
      <c r="B303" s="202" t="s">
        <v>436</v>
      </c>
      <c r="C303" s="200"/>
      <c r="D303" s="200">
        <v>2493</v>
      </c>
      <c r="E303" s="200"/>
      <c r="F303" s="200"/>
      <c r="G303" s="200"/>
      <c r="H303" s="129">
        <f t="shared" si="25"/>
        <v>2493</v>
      </c>
      <c r="I303" s="200"/>
      <c r="J303" s="200"/>
      <c r="K303" s="200"/>
      <c r="L303" s="200"/>
      <c r="M303" s="129">
        <f t="shared" si="22"/>
        <v>0</v>
      </c>
      <c r="N303" s="200"/>
      <c r="O303" s="200"/>
      <c r="P303" s="200"/>
      <c r="Q303" s="200"/>
      <c r="R303" s="129">
        <f t="shared" si="23"/>
        <v>0</v>
      </c>
      <c r="S303" s="200"/>
      <c r="T303" s="200"/>
      <c r="U303" s="200"/>
      <c r="V303" s="200"/>
      <c r="W303" s="129">
        <f t="shared" si="24"/>
        <v>0</v>
      </c>
    </row>
    <row r="304" spans="1:24" s="173" customFormat="1" ht="12.75" x14ac:dyDescent="0.2">
      <c r="A304" s="201" t="s">
        <v>688</v>
      </c>
      <c r="B304" s="202" t="s">
        <v>692</v>
      </c>
      <c r="C304" s="200"/>
      <c r="D304" s="200"/>
      <c r="E304" s="200"/>
      <c r="F304" s="200"/>
      <c r="G304" s="200"/>
      <c r="H304" s="129">
        <f t="shared" si="25"/>
        <v>0</v>
      </c>
      <c r="I304" s="200"/>
      <c r="J304" s="200"/>
      <c r="K304" s="200">
        <v>1800</v>
      </c>
      <c r="L304" s="200">
        <v>1800</v>
      </c>
      <c r="M304" s="129">
        <f t="shared" si="22"/>
        <v>3600</v>
      </c>
      <c r="N304" s="200"/>
      <c r="O304" s="200"/>
      <c r="P304" s="200"/>
      <c r="Q304" s="200"/>
      <c r="R304" s="129">
        <f t="shared" si="23"/>
        <v>0</v>
      </c>
      <c r="S304" s="200"/>
      <c r="T304" s="200"/>
      <c r="U304" s="200"/>
      <c r="V304" s="200"/>
      <c r="W304" s="129">
        <f t="shared" si="24"/>
        <v>0</v>
      </c>
    </row>
    <row r="305" spans="1:23" s="173" customFormat="1" ht="12.75" x14ac:dyDescent="0.2">
      <c r="A305" s="201" t="s">
        <v>688</v>
      </c>
      <c r="B305" s="202" t="s">
        <v>451</v>
      </c>
      <c r="C305" s="200"/>
      <c r="D305" s="200"/>
      <c r="E305" s="200"/>
      <c r="F305" s="200"/>
      <c r="G305" s="200"/>
      <c r="H305" s="129">
        <f t="shared" si="25"/>
        <v>0</v>
      </c>
      <c r="I305" s="200"/>
      <c r="J305" s="200"/>
      <c r="K305" s="200"/>
      <c r="L305" s="200"/>
      <c r="M305" s="129">
        <f t="shared" si="22"/>
        <v>0</v>
      </c>
      <c r="N305" s="200"/>
      <c r="O305" s="200"/>
      <c r="P305" s="200">
        <v>1850</v>
      </c>
      <c r="Q305" s="200">
        <v>1850</v>
      </c>
      <c r="R305" s="129">
        <f t="shared" si="23"/>
        <v>3700</v>
      </c>
      <c r="S305" s="200"/>
      <c r="T305" s="200"/>
      <c r="U305" s="200"/>
      <c r="V305" s="200"/>
      <c r="W305" s="129">
        <f t="shared" si="24"/>
        <v>0</v>
      </c>
    </row>
    <row r="306" spans="1:23" s="173" customFormat="1" ht="12.75" x14ac:dyDescent="0.2">
      <c r="A306" s="201" t="s">
        <v>688</v>
      </c>
      <c r="B306" s="202" t="s">
        <v>481</v>
      </c>
      <c r="C306" s="200"/>
      <c r="D306" s="200"/>
      <c r="E306" s="200"/>
      <c r="F306" s="200"/>
      <c r="G306" s="200"/>
      <c r="H306" s="129">
        <f t="shared" si="25"/>
        <v>0</v>
      </c>
      <c r="I306" s="200"/>
      <c r="J306" s="200"/>
      <c r="K306" s="200"/>
      <c r="L306" s="200"/>
      <c r="M306" s="129">
        <f t="shared" si="22"/>
        <v>0</v>
      </c>
      <c r="N306" s="200"/>
      <c r="O306" s="200">
        <v>1850</v>
      </c>
      <c r="P306" s="200">
        <v>1850</v>
      </c>
      <c r="Q306" s="200"/>
      <c r="R306" s="129">
        <f t="shared" si="23"/>
        <v>3700</v>
      </c>
      <c r="S306" s="200"/>
      <c r="T306" s="200"/>
      <c r="U306" s="200"/>
      <c r="V306" s="200"/>
      <c r="W306" s="129">
        <f t="shared" si="24"/>
        <v>0</v>
      </c>
    </row>
    <row r="307" spans="1:23" s="173" customFormat="1" ht="12.75" x14ac:dyDescent="0.2">
      <c r="A307" s="201" t="s">
        <v>688</v>
      </c>
      <c r="B307" s="202" t="s">
        <v>453</v>
      </c>
      <c r="C307" s="200"/>
      <c r="D307" s="200"/>
      <c r="E307" s="200"/>
      <c r="F307" s="200"/>
      <c r="G307" s="200"/>
      <c r="H307" s="129">
        <f t="shared" si="25"/>
        <v>0</v>
      </c>
      <c r="I307" s="200"/>
      <c r="J307" s="200"/>
      <c r="K307" s="200">
        <v>1800</v>
      </c>
      <c r="L307" s="200">
        <v>1800</v>
      </c>
      <c r="M307" s="129">
        <f t="shared" si="22"/>
        <v>3600</v>
      </c>
      <c r="N307" s="200"/>
      <c r="O307" s="200"/>
      <c r="P307" s="200"/>
      <c r="Q307" s="200"/>
      <c r="R307" s="129">
        <f t="shared" si="23"/>
        <v>0</v>
      </c>
      <c r="S307" s="200"/>
      <c r="T307" s="200"/>
      <c r="U307" s="200"/>
      <c r="V307" s="200"/>
      <c r="W307" s="129">
        <f t="shared" si="24"/>
        <v>0</v>
      </c>
    </row>
    <row r="308" spans="1:23" s="173" customFormat="1" ht="12.75" x14ac:dyDescent="0.2">
      <c r="A308" s="201" t="s">
        <v>688</v>
      </c>
      <c r="B308" s="202" t="s">
        <v>693</v>
      </c>
      <c r="C308" s="200"/>
      <c r="D308" s="200"/>
      <c r="E308" s="200"/>
      <c r="F308" s="200">
        <v>1625</v>
      </c>
      <c r="G308" s="200">
        <v>1625</v>
      </c>
      <c r="H308" s="129">
        <f t="shared" si="25"/>
        <v>3250</v>
      </c>
      <c r="I308" s="200"/>
      <c r="J308" s="200"/>
      <c r="K308" s="200"/>
      <c r="L308" s="200"/>
      <c r="M308" s="129">
        <f t="shared" si="22"/>
        <v>0</v>
      </c>
      <c r="N308" s="200"/>
      <c r="O308" s="200"/>
      <c r="P308" s="200"/>
      <c r="Q308" s="200"/>
      <c r="R308" s="129">
        <f t="shared" si="23"/>
        <v>0</v>
      </c>
      <c r="S308" s="200"/>
      <c r="T308" s="200"/>
      <c r="U308" s="200"/>
      <c r="V308" s="200"/>
      <c r="W308" s="129">
        <f t="shared" si="24"/>
        <v>0</v>
      </c>
    </row>
    <row r="309" spans="1:23" s="173" customFormat="1" ht="12.75" x14ac:dyDescent="0.2">
      <c r="A309" s="201" t="s">
        <v>688</v>
      </c>
      <c r="B309" s="202" t="s">
        <v>461</v>
      </c>
      <c r="C309" s="200"/>
      <c r="D309" s="200"/>
      <c r="E309" s="200"/>
      <c r="F309" s="200"/>
      <c r="G309" s="200"/>
      <c r="H309" s="129">
        <f t="shared" si="25"/>
        <v>0</v>
      </c>
      <c r="I309" s="200"/>
      <c r="J309" s="200"/>
      <c r="K309" s="200"/>
      <c r="L309" s="200"/>
      <c r="M309" s="129">
        <f t="shared" si="22"/>
        <v>0</v>
      </c>
      <c r="N309" s="200"/>
      <c r="O309" s="200"/>
      <c r="P309" s="200"/>
      <c r="Q309" s="200"/>
      <c r="R309" s="129">
        <f t="shared" si="23"/>
        <v>0</v>
      </c>
      <c r="S309" s="200"/>
      <c r="T309" s="200"/>
      <c r="U309" s="200">
        <v>2300</v>
      </c>
      <c r="V309" s="200">
        <v>2300</v>
      </c>
      <c r="W309" s="129">
        <f t="shared" si="24"/>
        <v>4600</v>
      </c>
    </row>
    <row r="310" spans="1:23" s="173" customFormat="1" ht="12.75" x14ac:dyDescent="0.2">
      <c r="A310" s="201" t="s">
        <v>688</v>
      </c>
      <c r="B310" s="202" t="s">
        <v>480</v>
      </c>
      <c r="C310" s="200"/>
      <c r="D310" s="200"/>
      <c r="E310" s="200"/>
      <c r="F310" s="200"/>
      <c r="G310" s="200"/>
      <c r="H310" s="129">
        <f t="shared" si="25"/>
        <v>0</v>
      </c>
      <c r="I310" s="200"/>
      <c r="J310" s="200"/>
      <c r="K310" s="200"/>
      <c r="L310" s="200"/>
      <c r="M310" s="129">
        <f t="shared" si="22"/>
        <v>0</v>
      </c>
      <c r="N310" s="200"/>
      <c r="O310" s="200"/>
      <c r="P310" s="200"/>
      <c r="Q310" s="200"/>
      <c r="R310" s="129">
        <f t="shared" si="23"/>
        <v>0</v>
      </c>
      <c r="S310" s="200"/>
      <c r="T310" s="200"/>
      <c r="U310" s="200"/>
      <c r="V310" s="200"/>
      <c r="W310" s="129">
        <f t="shared" si="24"/>
        <v>0</v>
      </c>
    </row>
    <row r="311" spans="1:23" s="173" customFormat="1" ht="12.75" x14ac:dyDescent="0.2">
      <c r="A311" s="201" t="s">
        <v>688</v>
      </c>
      <c r="B311" s="202" t="s">
        <v>445</v>
      </c>
      <c r="C311" s="200"/>
      <c r="D311" s="200"/>
      <c r="E311" s="200"/>
      <c r="F311" s="200"/>
      <c r="G311" s="200"/>
      <c r="H311" s="129">
        <f t="shared" si="25"/>
        <v>0</v>
      </c>
      <c r="I311" s="200"/>
      <c r="J311" s="200"/>
      <c r="K311" s="200"/>
      <c r="L311" s="200"/>
      <c r="M311" s="129">
        <f t="shared" si="22"/>
        <v>0</v>
      </c>
      <c r="N311" s="200"/>
      <c r="O311" s="200"/>
      <c r="P311" s="200"/>
      <c r="Q311" s="200"/>
      <c r="R311" s="129">
        <f t="shared" si="23"/>
        <v>0</v>
      </c>
      <c r="S311" s="200">
        <v>2200</v>
      </c>
      <c r="T311" s="200">
        <v>2200</v>
      </c>
      <c r="U311" s="200"/>
      <c r="V311" s="200"/>
      <c r="W311" s="129">
        <f t="shared" si="24"/>
        <v>4400</v>
      </c>
    </row>
    <row r="312" spans="1:23" s="173" customFormat="1" ht="12.75" x14ac:dyDescent="0.2">
      <c r="A312" s="201" t="s">
        <v>688</v>
      </c>
      <c r="B312" s="202" t="s">
        <v>438</v>
      </c>
      <c r="C312" s="200"/>
      <c r="D312" s="200"/>
      <c r="E312" s="200"/>
      <c r="F312" s="200"/>
      <c r="G312" s="200"/>
      <c r="H312" s="129">
        <f t="shared" si="25"/>
        <v>0</v>
      </c>
      <c r="I312" s="200"/>
      <c r="J312" s="200"/>
      <c r="K312" s="200"/>
      <c r="L312" s="200"/>
      <c r="M312" s="129">
        <f t="shared" si="22"/>
        <v>0</v>
      </c>
      <c r="N312" s="200"/>
      <c r="O312" s="200"/>
      <c r="P312" s="200"/>
      <c r="Q312" s="200"/>
      <c r="R312" s="129">
        <f t="shared" si="23"/>
        <v>0</v>
      </c>
      <c r="S312" s="200"/>
      <c r="T312" s="200"/>
      <c r="U312" s="200"/>
      <c r="V312" s="200"/>
      <c r="W312" s="129">
        <f t="shared" si="24"/>
        <v>0</v>
      </c>
    </row>
    <row r="313" spans="1:23" s="173" customFormat="1" ht="12.75" x14ac:dyDescent="0.2">
      <c r="A313" s="201" t="s">
        <v>688</v>
      </c>
      <c r="B313" s="202" t="s">
        <v>694</v>
      </c>
      <c r="C313" s="200"/>
      <c r="D313" s="200"/>
      <c r="E313" s="200"/>
      <c r="F313" s="200"/>
      <c r="G313" s="200"/>
      <c r="H313" s="129">
        <f t="shared" si="25"/>
        <v>0</v>
      </c>
      <c r="I313" s="200"/>
      <c r="J313" s="200"/>
      <c r="K313" s="200"/>
      <c r="L313" s="200"/>
      <c r="M313" s="129">
        <f t="shared" si="22"/>
        <v>0</v>
      </c>
      <c r="N313" s="200"/>
      <c r="O313" s="200"/>
      <c r="P313" s="200"/>
      <c r="Q313" s="200"/>
      <c r="R313" s="129">
        <f t="shared" si="23"/>
        <v>0</v>
      </c>
      <c r="S313" s="200"/>
      <c r="T313" s="200"/>
      <c r="U313" s="200"/>
      <c r="V313" s="200"/>
      <c r="W313" s="129">
        <f t="shared" si="24"/>
        <v>0</v>
      </c>
    </row>
    <row r="314" spans="1:23" s="173" customFormat="1" ht="12.75" x14ac:dyDescent="0.2">
      <c r="A314" s="201" t="s">
        <v>688</v>
      </c>
      <c r="B314" s="202" t="s">
        <v>695</v>
      </c>
      <c r="C314" s="200"/>
      <c r="D314" s="200"/>
      <c r="E314" s="200"/>
      <c r="F314" s="200"/>
      <c r="G314" s="200"/>
      <c r="H314" s="129">
        <f t="shared" si="25"/>
        <v>0</v>
      </c>
      <c r="I314" s="200"/>
      <c r="J314" s="200"/>
      <c r="K314" s="200"/>
      <c r="L314" s="200"/>
      <c r="M314" s="129">
        <f t="shared" si="22"/>
        <v>0</v>
      </c>
      <c r="N314" s="200"/>
      <c r="O314" s="200"/>
      <c r="P314" s="200"/>
      <c r="Q314" s="200"/>
      <c r="R314" s="129">
        <f t="shared" si="23"/>
        <v>0</v>
      </c>
      <c r="S314" s="200"/>
      <c r="T314" s="200"/>
      <c r="U314" s="200"/>
      <c r="V314" s="200"/>
      <c r="W314" s="129">
        <f t="shared" si="24"/>
        <v>0</v>
      </c>
    </row>
    <row r="315" spans="1:23" s="173" customFormat="1" ht="12.75" x14ac:dyDescent="0.2">
      <c r="A315" s="201" t="s">
        <v>688</v>
      </c>
      <c r="B315" s="202" t="s">
        <v>696</v>
      </c>
      <c r="C315" s="200"/>
      <c r="D315" s="200"/>
      <c r="E315" s="200"/>
      <c r="F315" s="200"/>
      <c r="G315" s="200"/>
      <c r="H315" s="129">
        <f t="shared" si="25"/>
        <v>0</v>
      </c>
      <c r="I315" s="200"/>
      <c r="J315" s="200"/>
      <c r="K315" s="200"/>
      <c r="L315" s="200"/>
      <c r="M315" s="129">
        <f t="shared" si="22"/>
        <v>0</v>
      </c>
      <c r="N315" s="200"/>
      <c r="O315" s="200"/>
      <c r="P315" s="200"/>
      <c r="Q315" s="200"/>
      <c r="R315" s="129">
        <f t="shared" si="23"/>
        <v>0</v>
      </c>
      <c r="S315" s="200">
        <v>2200</v>
      </c>
      <c r="T315" s="200">
        <v>2200</v>
      </c>
      <c r="U315" s="200"/>
      <c r="V315" s="200"/>
      <c r="W315" s="129">
        <f t="shared" si="24"/>
        <v>4400</v>
      </c>
    </row>
    <row r="316" spans="1:23" s="173" customFormat="1" ht="12.75" x14ac:dyDescent="0.2">
      <c r="A316" s="201" t="s">
        <v>688</v>
      </c>
      <c r="B316" s="202" t="s">
        <v>697</v>
      </c>
      <c r="C316" s="200"/>
      <c r="D316" s="200"/>
      <c r="E316" s="200"/>
      <c r="F316" s="200"/>
      <c r="G316" s="200"/>
      <c r="H316" s="129">
        <f t="shared" si="25"/>
        <v>0</v>
      </c>
      <c r="I316" s="200"/>
      <c r="J316" s="200"/>
      <c r="K316" s="200"/>
      <c r="L316" s="200"/>
      <c r="M316" s="129">
        <f t="shared" si="22"/>
        <v>0</v>
      </c>
      <c r="N316" s="200"/>
      <c r="O316" s="200"/>
      <c r="P316" s="200"/>
      <c r="Q316" s="200"/>
      <c r="R316" s="129">
        <f t="shared" si="23"/>
        <v>0</v>
      </c>
      <c r="S316" s="200"/>
      <c r="T316" s="200"/>
      <c r="U316" s="200"/>
      <c r="V316" s="200"/>
      <c r="W316" s="129">
        <f t="shared" si="24"/>
        <v>0</v>
      </c>
    </row>
    <row r="317" spans="1:23" s="173" customFormat="1" ht="12.75" x14ac:dyDescent="0.2">
      <c r="A317" s="201" t="s">
        <v>688</v>
      </c>
      <c r="B317" s="202" t="s">
        <v>465</v>
      </c>
      <c r="C317" s="200"/>
      <c r="D317" s="200"/>
      <c r="E317" s="200"/>
      <c r="F317" s="200"/>
      <c r="G317" s="200"/>
      <c r="H317" s="129">
        <f t="shared" si="25"/>
        <v>0</v>
      </c>
      <c r="I317" s="200"/>
      <c r="J317" s="200">
        <v>1850</v>
      </c>
      <c r="K317" s="200">
        <v>1850</v>
      </c>
      <c r="L317" s="200"/>
      <c r="M317" s="129">
        <f t="shared" si="22"/>
        <v>3700</v>
      </c>
      <c r="N317" s="200"/>
      <c r="O317" s="200"/>
      <c r="P317" s="200"/>
      <c r="Q317" s="200"/>
      <c r="R317" s="129">
        <f t="shared" si="23"/>
        <v>0</v>
      </c>
      <c r="S317" s="200"/>
      <c r="T317" s="200"/>
      <c r="U317" s="200"/>
      <c r="V317" s="200"/>
      <c r="W317" s="129">
        <f t="shared" si="24"/>
        <v>0</v>
      </c>
    </row>
    <row r="318" spans="1:23" s="173" customFormat="1" ht="12.75" x14ac:dyDescent="0.2">
      <c r="A318" s="201" t="s">
        <v>688</v>
      </c>
      <c r="B318" s="202" t="s">
        <v>478</v>
      </c>
      <c r="C318" s="200"/>
      <c r="D318" s="200"/>
      <c r="E318" s="200"/>
      <c r="F318" s="200"/>
      <c r="G318" s="200"/>
      <c r="H318" s="129">
        <f t="shared" si="25"/>
        <v>0</v>
      </c>
      <c r="I318" s="200"/>
      <c r="J318" s="200"/>
      <c r="K318" s="200"/>
      <c r="L318" s="200"/>
      <c r="M318" s="129">
        <f t="shared" si="22"/>
        <v>0</v>
      </c>
      <c r="N318" s="200"/>
      <c r="O318" s="200"/>
      <c r="P318" s="200">
        <v>2000</v>
      </c>
      <c r="Q318" s="200">
        <v>2000</v>
      </c>
      <c r="R318" s="129">
        <f t="shared" si="23"/>
        <v>4000</v>
      </c>
      <c r="S318" s="200"/>
      <c r="T318" s="200"/>
      <c r="U318" s="200"/>
      <c r="V318" s="200"/>
      <c r="W318" s="129">
        <f t="shared" si="24"/>
        <v>0</v>
      </c>
    </row>
    <row r="319" spans="1:23" s="173" customFormat="1" ht="12.75" x14ac:dyDescent="0.2">
      <c r="A319" s="201" t="s">
        <v>688</v>
      </c>
      <c r="B319" s="202" t="s">
        <v>698</v>
      </c>
      <c r="C319" s="200"/>
      <c r="D319" s="200"/>
      <c r="E319" s="200"/>
      <c r="F319" s="200"/>
      <c r="G319" s="200"/>
      <c r="H319" s="129">
        <f t="shared" si="25"/>
        <v>0</v>
      </c>
      <c r="I319" s="200"/>
      <c r="J319" s="200"/>
      <c r="K319" s="200"/>
      <c r="L319" s="200"/>
      <c r="M319" s="129">
        <f t="shared" si="22"/>
        <v>0</v>
      </c>
      <c r="N319" s="200"/>
      <c r="O319" s="200"/>
      <c r="P319" s="200"/>
      <c r="Q319" s="200"/>
      <c r="R319" s="129">
        <f t="shared" si="23"/>
        <v>0</v>
      </c>
      <c r="S319" s="200"/>
      <c r="T319" s="200"/>
      <c r="U319" s="200"/>
      <c r="V319" s="200"/>
      <c r="W319" s="129">
        <f t="shared" si="24"/>
        <v>0</v>
      </c>
    </row>
    <row r="320" spans="1:23" s="173" customFormat="1" ht="12.75" x14ac:dyDescent="0.2">
      <c r="A320" s="201" t="s">
        <v>688</v>
      </c>
      <c r="B320" s="202" t="s">
        <v>446</v>
      </c>
      <c r="C320" s="200"/>
      <c r="D320" s="200"/>
      <c r="E320" s="200"/>
      <c r="F320" s="200"/>
      <c r="G320" s="200"/>
      <c r="H320" s="129">
        <f t="shared" si="25"/>
        <v>0</v>
      </c>
      <c r="I320" s="200"/>
      <c r="J320" s="200"/>
      <c r="K320" s="200"/>
      <c r="L320" s="200"/>
      <c r="M320" s="129">
        <f t="shared" si="22"/>
        <v>0</v>
      </c>
      <c r="N320" s="200"/>
      <c r="O320" s="200"/>
      <c r="P320" s="200"/>
      <c r="Q320" s="200"/>
      <c r="R320" s="129">
        <f t="shared" si="23"/>
        <v>0</v>
      </c>
      <c r="S320" s="200">
        <v>2100</v>
      </c>
      <c r="T320" s="200">
        <v>2100</v>
      </c>
      <c r="U320" s="200"/>
      <c r="V320" s="200"/>
      <c r="W320" s="129">
        <f t="shared" si="24"/>
        <v>4200</v>
      </c>
    </row>
    <row r="321" spans="1:23" s="173" customFormat="1" ht="12.75" x14ac:dyDescent="0.2">
      <c r="A321" s="201" t="s">
        <v>688</v>
      </c>
      <c r="B321" s="202" t="s">
        <v>699</v>
      </c>
      <c r="C321" s="200"/>
      <c r="D321" s="200"/>
      <c r="E321" s="200"/>
      <c r="F321" s="200"/>
      <c r="G321" s="200"/>
      <c r="H321" s="129">
        <f t="shared" si="25"/>
        <v>0</v>
      </c>
      <c r="I321" s="200"/>
      <c r="J321" s="200"/>
      <c r="K321" s="200"/>
      <c r="L321" s="200"/>
      <c r="M321" s="129">
        <f t="shared" si="22"/>
        <v>0</v>
      </c>
      <c r="N321" s="200"/>
      <c r="O321" s="200"/>
      <c r="P321" s="200"/>
      <c r="Q321" s="200"/>
      <c r="R321" s="129">
        <f t="shared" si="23"/>
        <v>0</v>
      </c>
      <c r="S321" s="200"/>
      <c r="T321" s="200"/>
      <c r="U321" s="200"/>
      <c r="V321" s="200"/>
      <c r="W321" s="129">
        <f t="shared" si="24"/>
        <v>0</v>
      </c>
    </row>
    <row r="322" spans="1:23" s="173" customFormat="1" ht="12.75" x14ac:dyDescent="0.2">
      <c r="A322" s="201" t="s">
        <v>688</v>
      </c>
      <c r="B322" s="202" t="s">
        <v>700</v>
      </c>
      <c r="C322" s="200"/>
      <c r="D322" s="200"/>
      <c r="E322" s="200">
        <v>3200</v>
      </c>
      <c r="F322" s="200"/>
      <c r="G322" s="200"/>
      <c r="H322" s="129">
        <f t="shared" si="25"/>
        <v>3200</v>
      </c>
      <c r="I322" s="200"/>
      <c r="J322" s="200"/>
      <c r="K322" s="200"/>
      <c r="L322" s="200"/>
      <c r="M322" s="129">
        <f t="shared" si="22"/>
        <v>0</v>
      </c>
      <c r="N322" s="200"/>
      <c r="O322" s="200"/>
      <c r="P322" s="200"/>
      <c r="Q322" s="200"/>
      <c r="R322" s="129">
        <f t="shared" si="23"/>
        <v>0</v>
      </c>
      <c r="S322" s="200"/>
      <c r="T322" s="200"/>
      <c r="U322" s="200"/>
      <c r="V322" s="200"/>
      <c r="W322" s="129">
        <f t="shared" si="24"/>
        <v>0</v>
      </c>
    </row>
    <row r="323" spans="1:23" s="173" customFormat="1" ht="12.75" x14ac:dyDescent="0.2">
      <c r="A323" s="201" t="s">
        <v>688</v>
      </c>
      <c r="B323" s="202" t="s">
        <v>701</v>
      </c>
      <c r="C323" s="200"/>
      <c r="D323" s="200"/>
      <c r="E323" s="200"/>
      <c r="F323" s="200"/>
      <c r="G323" s="200"/>
      <c r="H323" s="129">
        <f t="shared" si="25"/>
        <v>0</v>
      </c>
      <c r="I323" s="200"/>
      <c r="J323" s="200"/>
      <c r="K323" s="200"/>
      <c r="L323" s="200"/>
      <c r="M323" s="129">
        <f t="shared" si="22"/>
        <v>0</v>
      </c>
      <c r="N323" s="200"/>
      <c r="O323" s="200"/>
      <c r="P323" s="200"/>
      <c r="Q323" s="200"/>
      <c r="R323" s="129">
        <f t="shared" si="23"/>
        <v>0</v>
      </c>
      <c r="S323" s="200">
        <v>2200</v>
      </c>
      <c r="T323" s="200">
        <v>2200</v>
      </c>
      <c r="U323" s="200"/>
      <c r="V323" s="200"/>
      <c r="W323" s="129">
        <f t="shared" si="24"/>
        <v>4400</v>
      </c>
    </row>
    <row r="324" spans="1:23" s="173" customFormat="1" ht="12.75" x14ac:dyDescent="0.2">
      <c r="A324" s="201" t="s">
        <v>688</v>
      </c>
      <c r="B324" s="202" t="s">
        <v>479</v>
      </c>
      <c r="C324" s="200"/>
      <c r="D324" s="200"/>
      <c r="E324" s="200"/>
      <c r="F324" s="200"/>
      <c r="G324" s="200"/>
      <c r="H324" s="129">
        <f t="shared" si="25"/>
        <v>0</v>
      </c>
      <c r="I324" s="200"/>
      <c r="J324" s="200"/>
      <c r="K324" s="200"/>
      <c r="L324" s="200"/>
      <c r="M324" s="129">
        <f t="shared" si="22"/>
        <v>0</v>
      </c>
      <c r="N324" s="200"/>
      <c r="O324" s="200"/>
      <c r="P324" s="200">
        <v>1900</v>
      </c>
      <c r="Q324" s="200">
        <v>1900</v>
      </c>
      <c r="R324" s="129">
        <f t="shared" si="23"/>
        <v>3800</v>
      </c>
      <c r="S324" s="200"/>
      <c r="T324" s="200"/>
      <c r="U324" s="200"/>
      <c r="V324" s="200"/>
      <c r="W324" s="129">
        <f t="shared" si="24"/>
        <v>0</v>
      </c>
    </row>
    <row r="325" spans="1:23" s="173" customFormat="1" ht="12.75" x14ac:dyDescent="0.2">
      <c r="A325" s="201" t="s">
        <v>702</v>
      </c>
      <c r="B325" s="202" t="s">
        <v>443</v>
      </c>
      <c r="C325" s="200"/>
      <c r="D325" s="200">
        <v>4916</v>
      </c>
      <c r="E325" s="200"/>
      <c r="F325" s="200"/>
      <c r="G325" s="200"/>
      <c r="H325" s="129">
        <f t="shared" si="25"/>
        <v>4916</v>
      </c>
      <c r="I325" s="200"/>
      <c r="J325" s="200"/>
      <c r="K325" s="200"/>
      <c r="L325" s="200"/>
      <c r="M325" s="129">
        <f t="shared" si="22"/>
        <v>0</v>
      </c>
      <c r="N325" s="200"/>
      <c r="O325" s="200"/>
      <c r="P325" s="200"/>
      <c r="Q325" s="200"/>
      <c r="R325" s="129">
        <f t="shared" si="23"/>
        <v>0</v>
      </c>
      <c r="S325" s="200"/>
      <c r="T325" s="200"/>
      <c r="U325" s="200"/>
      <c r="V325" s="200"/>
      <c r="W325" s="129">
        <f t="shared" si="24"/>
        <v>0</v>
      </c>
    </row>
    <row r="326" spans="1:23" s="173" customFormat="1" ht="12.75" x14ac:dyDescent="0.2">
      <c r="A326" s="201" t="s">
        <v>702</v>
      </c>
      <c r="B326" s="202" t="s">
        <v>703</v>
      </c>
      <c r="C326" s="200">
        <v>248</v>
      </c>
      <c r="D326" s="200">
        <v>3100</v>
      </c>
      <c r="E326" s="200"/>
      <c r="F326" s="200"/>
      <c r="G326" s="200"/>
      <c r="H326" s="129">
        <f>C326+D326</f>
        <v>3348</v>
      </c>
      <c r="I326" s="200"/>
      <c r="J326" s="200"/>
      <c r="K326" s="200"/>
      <c r="L326" s="200"/>
      <c r="M326" s="129">
        <f t="shared" si="22"/>
        <v>0</v>
      </c>
      <c r="N326" s="200"/>
      <c r="O326" s="200"/>
      <c r="P326" s="200"/>
      <c r="Q326" s="200"/>
      <c r="R326" s="129">
        <f t="shared" si="23"/>
        <v>0</v>
      </c>
      <c r="S326" s="200"/>
      <c r="T326" s="200"/>
      <c r="U326" s="200"/>
      <c r="V326" s="200"/>
      <c r="W326" s="129">
        <f t="shared" si="24"/>
        <v>0</v>
      </c>
    </row>
    <row r="327" spans="1:23" s="173" customFormat="1" ht="12.75" x14ac:dyDescent="0.2">
      <c r="A327" s="201" t="s">
        <v>702</v>
      </c>
      <c r="B327" s="202" t="s">
        <v>704</v>
      </c>
      <c r="C327" s="200"/>
      <c r="D327" s="200"/>
      <c r="E327" s="200"/>
      <c r="F327" s="200">
        <v>3368</v>
      </c>
      <c r="G327" s="200">
        <v>3132</v>
      </c>
      <c r="H327" s="129">
        <f t="shared" si="25"/>
        <v>6500</v>
      </c>
      <c r="I327" s="200"/>
      <c r="J327" s="200"/>
      <c r="K327" s="200"/>
      <c r="L327" s="200"/>
      <c r="M327" s="129">
        <f t="shared" si="22"/>
        <v>0</v>
      </c>
      <c r="N327" s="200"/>
      <c r="O327" s="200"/>
      <c r="P327" s="200"/>
      <c r="Q327" s="200"/>
      <c r="R327" s="129">
        <f t="shared" si="23"/>
        <v>0</v>
      </c>
      <c r="S327" s="200"/>
      <c r="T327" s="200"/>
      <c r="U327" s="200"/>
      <c r="V327" s="200"/>
      <c r="W327" s="129">
        <f t="shared" si="24"/>
        <v>0</v>
      </c>
    </row>
    <row r="328" spans="1:23" s="173" customFormat="1" ht="12.75" x14ac:dyDescent="0.2">
      <c r="A328" s="201" t="s">
        <v>702</v>
      </c>
      <c r="B328" s="202" t="s">
        <v>438</v>
      </c>
      <c r="C328" s="200"/>
      <c r="D328" s="200"/>
      <c r="E328" s="171"/>
      <c r="F328" s="200"/>
      <c r="G328" s="200"/>
      <c r="H328" s="129"/>
      <c r="I328" s="200"/>
      <c r="J328" s="200"/>
      <c r="K328" s="200"/>
      <c r="L328" s="200"/>
      <c r="M328" s="129">
        <f t="shared" si="22"/>
        <v>0</v>
      </c>
      <c r="N328" s="200"/>
      <c r="O328" s="200"/>
      <c r="P328" s="200"/>
      <c r="Q328" s="200"/>
      <c r="R328" s="129">
        <f t="shared" si="23"/>
        <v>0</v>
      </c>
      <c r="S328" s="200"/>
      <c r="T328" s="200"/>
      <c r="U328" s="200"/>
      <c r="V328" s="200"/>
      <c r="W328" s="129">
        <f t="shared" si="24"/>
        <v>0</v>
      </c>
    </row>
    <row r="329" spans="1:23" s="173" customFormat="1" ht="12.75" x14ac:dyDescent="0.2">
      <c r="A329" s="201" t="s">
        <v>702</v>
      </c>
      <c r="B329" s="202" t="s">
        <v>452</v>
      </c>
      <c r="C329" s="200"/>
      <c r="D329" s="200"/>
      <c r="E329" s="200">
        <v>3650</v>
      </c>
      <c r="F329" s="200"/>
      <c r="G329" s="200"/>
      <c r="H329" s="129">
        <f t="shared" si="25"/>
        <v>3650</v>
      </c>
      <c r="I329" s="200"/>
      <c r="J329" s="200"/>
      <c r="K329" s="200"/>
      <c r="L329" s="200"/>
      <c r="M329" s="129">
        <f t="shared" si="22"/>
        <v>0</v>
      </c>
      <c r="N329" s="200"/>
      <c r="O329" s="200"/>
      <c r="P329" s="200"/>
      <c r="Q329" s="200"/>
      <c r="R329" s="129">
        <f t="shared" si="23"/>
        <v>0</v>
      </c>
      <c r="S329" s="200"/>
      <c r="T329" s="200"/>
      <c r="U329" s="200"/>
      <c r="V329" s="200"/>
      <c r="W329" s="129">
        <f t="shared" si="24"/>
        <v>0</v>
      </c>
    </row>
    <row r="330" spans="1:23" s="173" customFormat="1" ht="12.75" x14ac:dyDescent="0.2">
      <c r="A330" s="201" t="s">
        <v>705</v>
      </c>
      <c r="B330" s="202" t="s">
        <v>445</v>
      </c>
      <c r="C330" s="200"/>
      <c r="D330" s="200"/>
      <c r="E330" s="200">
        <v>1920</v>
      </c>
      <c r="F330" s="200">
        <v>2330</v>
      </c>
      <c r="G330" s="200"/>
      <c r="H330" s="129">
        <f t="shared" si="25"/>
        <v>4250</v>
      </c>
      <c r="I330" s="200"/>
      <c r="J330" s="200"/>
      <c r="K330" s="200"/>
      <c r="L330" s="200"/>
      <c r="M330" s="129">
        <f t="shared" si="22"/>
        <v>0</v>
      </c>
      <c r="N330" s="200"/>
      <c r="O330" s="200"/>
      <c r="P330" s="200"/>
      <c r="Q330" s="200"/>
      <c r="R330" s="129">
        <f t="shared" si="23"/>
        <v>0</v>
      </c>
      <c r="S330" s="200"/>
      <c r="T330" s="200"/>
      <c r="U330" s="200"/>
      <c r="V330" s="200"/>
      <c r="W330" s="129">
        <f t="shared" si="24"/>
        <v>0</v>
      </c>
    </row>
    <row r="331" spans="1:23" s="173" customFormat="1" ht="12.75" x14ac:dyDescent="0.2">
      <c r="A331" s="201" t="s">
        <v>706</v>
      </c>
      <c r="B331" s="202" t="s">
        <v>441</v>
      </c>
      <c r="C331" s="200"/>
      <c r="D331" s="200"/>
      <c r="E331" s="200"/>
      <c r="F331" s="200"/>
      <c r="G331" s="200"/>
      <c r="H331" s="129"/>
      <c r="I331" s="200"/>
      <c r="J331" s="200"/>
      <c r="K331" s="200">
        <v>4000</v>
      </c>
      <c r="L331" s="200">
        <v>4000</v>
      </c>
      <c r="M331" s="129">
        <f t="shared" si="22"/>
        <v>8000</v>
      </c>
      <c r="N331" s="200"/>
      <c r="O331" s="200"/>
      <c r="P331" s="200"/>
      <c r="Q331" s="200"/>
      <c r="R331" s="129"/>
      <c r="S331" s="200"/>
      <c r="T331" s="200"/>
      <c r="U331" s="200"/>
      <c r="V331" s="200"/>
      <c r="W331" s="129"/>
    </row>
    <row r="332" spans="1:23" s="173" customFormat="1" ht="12.75" x14ac:dyDescent="0.2">
      <c r="A332" s="201" t="s">
        <v>702</v>
      </c>
      <c r="B332" s="202" t="s">
        <v>456</v>
      </c>
      <c r="C332" s="200"/>
      <c r="D332" s="200"/>
      <c r="E332" s="200"/>
      <c r="F332" s="200">
        <v>3125</v>
      </c>
      <c r="G332" s="200">
        <v>3875</v>
      </c>
      <c r="H332" s="129">
        <f t="shared" si="25"/>
        <v>7000</v>
      </c>
      <c r="I332" s="200"/>
      <c r="J332" s="200"/>
      <c r="K332" s="200"/>
      <c r="L332" s="200"/>
      <c r="M332" s="129">
        <f t="shared" si="22"/>
        <v>0</v>
      </c>
      <c r="N332" s="200"/>
      <c r="O332" s="200"/>
      <c r="P332" s="200"/>
      <c r="Q332" s="200"/>
      <c r="R332" s="129">
        <f t="shared" si="23"/>
        <v>0</v>
      </c>
      <c r="S332" s="200"/>
      <c r="T332" s="200"/>
      <c r="U332" s="200"/>
      <c r="V332" s="200"/>
      <c r="W332" s="129">
        <f t="shared" si="24"/>
        <v>0</v>
      </c>
    </row>
    <row r="333" spans="1:23" s="173" customFormat="1" ht="12.75" x14ac:dyDescent="0.2">
      <c r="A333" s="201" t="s">
        <v>702</v>
      </c>
      <c r="B333" s="202" t="s">
        <v>479</v>
      </c>
      <c r="C333" s="200"/>
      <c r="D333" s="200"/>
      <c r="E333" s="200"/>
      <c r="F333" s="200"/>
      <c r="G333" s="200"/>
      <c r="H333" s="129">
        <f t="shared" si="25"/>
        <v>0</v>
      </c>
      <c r="I333" s="200"/>
      <c r="J333" s="200"/>
      <c r="K333" s="200"/>
      <c r="L333" s="200"/>
      <c r="M333" s="129">
        <f t="shared" si="22"/>
        <v>0</v>
      </c>
      <c r="N333" s="200"/>
      <c r="O333" s="200"/>
      <c r="P333" s="200"/>
      <c r="Q333" s="200"/>
      <c r="R333" s="129">
        <f t="shared" si="23"/>
        <v>0</v>
      </c>
      <c r="S333" s="200"/>
      <c r="T333" s="200"/>
      <c r="U333" s="200"/>
      <c r="V333" s="200"/>
      <c r="W333" s="129">
        <f t="shared" si="24"/>
        <v>0</v>
      </c>
    </row>
    <row r="334" spans="1:23" s="173" customFormat="1" ht="12.75" x14ac:dyDescent="0.2">
      <c r="A334" s="201" t="s">
        <v>702</v>
      </c>
      <c r="B334" s="202" t="s">
        <v>435</v>
      </c>
      <c r="C334" s="200"/>
      <c r="D334" s="200"/>
      <c r="E334" s="200"/>
      <c r="F334" s="200"/>
      <c r="G334" s="200"/>
      <c r="H334" s="129">
        <f t="shared" si="25"/>
        <v>0</v>
      </c>
      <c r="I334" s="200"/>
      <c r="J334" s="200"/>
      <c r="K334" s="200"/>
      <c r="L334" s="200"/>
      <c r="M334" s="129">
        <f t="shared" si="22"/>
        <v>0</v>
      </c>
      <c r="N334" s="200"/>
      <c r="O334" s="200"/>
      <c r="P334" s="200"/>
      <c r="Q334" s="200"/>
      <c r="R334" s="129">
        <f t="shared" si="23"/>
        <v>0</v>
      </c>
      <c r="S334" s="200"/>
      <c r="T334" s="200"/>
      <c r="U334" s="200"/>
      <c r="V334" s="200"/>
      <c r="W334" s="129">
        <f t="shared" si="24"/>
        <v>0</v>
      </c>
    </row>
    <row r="335" spans="1:23" s="173" customFormat="1" ht="12.75" x14ac:dyDescent="0.2">
      <c r="A335" s="201" t="s">
        <v>702</v>
      </c>
      <c r="B335" s="202" t="s">
        <v>468</v>
      </c>
      <c r="C335" s="200"/>
      <c r="D335" s="200"/>
      <c r="E335" s="200"/>
      <c r="F335" s="200">
        <v>4000</v>
      </c>
      <c r="G335" s="200">
        <v>4000</v>
      </c>
      <c r="H335" s="129">
        <f t="shared" si="25"/>
        <v>8000</v>
      </c>
      <c r="I335" s="200"/>
      <c r="J335" s="200"/>
      <c r="K335" s="200"/>
      <c r="L335" s="200"/>
      <c r="M335" s="129">
        <f t="shared" si="22"/>
        <v>0</v>
      </c>
      <c r="N335" s="200"/>
      <c r="O335" s="200"/>
      <c r="P335" s="200"/>
      <c r="Q335" s="200"/>
      <c r="R335" s="129">
        <f t="shared" si="23"/>
        <v>0</v>
      </c>
      <c r="S335" s="200"/>
      <c r="T335" s="200"/>
      <c r="U335" s="200"/>
      <c r="V335" s="200"/>
      <c r="W335" s="129">
        <f t="shared" si="24"/>
        <v>0</v>
      </c>
    </row>
    <row r="336" spans="1:23" s="173" customFormat="1" ht="12.75" x14ac:dyDescent="0.2">
      <c r="A336" s="201" t="s">
        <v>707</v>
      </c>
      <c r="B336" s="202" t="s">
        <v>453</v>
      </c>
      <c r="C336" s="200"/>
      <c r="D336" s="200"/>
      <c r="E336" s="200"/>
      <c r="F336" s="200"/>
      <c r="G336" s="200"/>
      <c r="H336" s="129"/>
      <c r="I336" s="200"/>
      <c r="J336" s="200"/>
      <c r="K336" s="200">
        <v>5000</v>
      </c>
      <c r="L336" s="200">
        <v>5000</v>
      </c>
      <c r="M336" s="129">
        <f t="shared" si="22"/>
        <v>10000</v>
      </c>
      <c r="N336" s="200"/>
      <c r="O336" s="200"/>
      <c r="P336" s="200"/>
      <c r="Q336" s="200"/>
      <c r="R336" s="129">
        <f t="shared" si="23"/>
        <v>0</v>
      </c>
      <c r="S336" s="200"/>
      <c r="T336" s="200"/>
      <c r="U336" s="200"/>
      <c r="V336" s="200"/>
      <c r="W336" s="129">
        <f t="shared" si="24"/>
        <v>0</v>
      </c>
    </row>
    <row r="337" spans="1:23" s="173" customFormat="1" ht="12.75" x14ac:dyDescent="0.2">
      <c r="A337" s="201" t="s">
        <v>707</v>
      </c>
      <c r="B337" s="202" t="s">
        <v>452</v>
      </c>
      <c r="C337" s="200"/>
      <c r="D337" s="200"/>
      <c r="E337" s="200"/>
      <c r="F337" s="200"/>
      <c r="G337" s="200"/>
      <c r="H337" s="129"/>
      <c r="I337" s="200"/>
      <c r="J337" s="200"/>
      <c r="K337" s="200">
        <v>4000</v>
      </c>
      <c r="L337" s="200">
        <v>4000</v>
      </c>
      <c r="M337" s="129">
        <f t="shared" si="22"/>
        <v>8000</v>
      </c>
      <c r="N337" s="200"/>
      <c r="O337" s="200"/>
      <c r="P337" s="200"/>
      <c r="Q337" s="200"/>
      <c r="R337" s="129">
        <f t="shared" si="23"/>
        <v>0</v>
      </c>
      <c r="S337" s="200"/>
      <c r="T337" s="200"/>
      <c r="U337" s="200"/>
      <c r="V337" s="200"/>
      <c r="W337" s="129">
        <f t="shared" si="24"/>
        <v>0</v>
      </c>
    </row>
    <row r="338" spans="1:23" s="173" customFormat="1" ht="12.75" x14ac:dyDescent="0.2">
      <c r="A338" s="201" t="s">
        <v>707</v>
      </c>
      <c r="B338" s="202" t="s">
        <v>441</v>
      </c>
      <c r="C338" s="200"/>
      <c r="D338" s="200"/>
      <c r="E338" s="200"/>
      <c r="F338" s="200"/>
      <c r="G338" s="200"/>
      <c r="H338" s="129"/>
      <c r="I338" s="200"/>
      <c r="J338" s="200"/>
      <c r="K338" s="200"/>
      <c r="L338" s="200"/>
      <c r="M338" s="129"/>
      <c r="N338" s="200">
        <v>4200</v>
      </c>
      <c r="O338" s="200">
        <v>4200</v>
      </c>
      <c r="P338" s="200"/>
      <c r="Q338" s="200"/>
      <c r="R338" s="129">
        <f t="shared" si="23"/>
        <v>8400</v>
      </c>
      <c r="S338" s="200"/>
      <c r="T338" s="200"/>
      <c r="U338" s="200"/>
      <c r="V338" s="200"/>
      <c r="W338" s="129">
        <f t="shared" si="24"/>
        <v>0</v>
      </c>
    </row>
    <row r="339" spans="1:23" s="173" customFormat="1" ht="12.75" x14ac:dyDescent="0.2">
      <c r="A339" s="201" t="s">
        <v>707</v>
      </c>
      <c r="B339" s="202" t="s">
        <v>692</v>
      </c>
      <c r="C339" s="200"/>
      <c r="D339" s="200"/>
      <c r="E339" s="200"/>
      <c r="F339" s="200"/>
      <c r="G339" s="200"/>
      <c r="H339" s="129"/>
      <c r="I339" s="200"/>
      <c r="J339" s="200"/>
      <c r="K339" s="200"/>
      <c r="L339" s="200"/>
      <c r="M339" s="129"/>
      <c r="N339" s="200"/>
      <c r="O339" s="200">
        <v>4300</v>
      </c>
      <c r="P339" s="200">
        <v>4300</v>
      </c>
      <c r="Q339" s="200"/>
      <c r="R339" s="129">
        <f t="shared" si="23"/>
        <v>8600</v>
      </c>
      <c r="S339" s="200"/>
      <c r="T339" s="200"/>
      <c r="U339" s="200"/>
      <c r="V339" s="200"/>
      <c r="W339" s="129">
        <f t="shared" si="24"/>
        <v>0</v>
      </c>
    </row>
    <row r="340" spans="1:23" s="173" customFormat="1" ht="12.75" x14ac:dyDescent="0.2">
      <c r="A340" s="201" t="s">
        <v>707</v>
      </c>
      <c r="B340" s="202" t="s">
        <v>440</v>
      </c>
      <c r="C340" s="200"/>
      <c r="D340" s="200"/>
      <c r="E340" s="200"/>
      <c r="F340" s="200"/>
      <c r="G340" s="200"/>
      <c r="H340" s="129"/>
      <c r="I340" s="200"/>
      <c r="J340" s="200"/>
      <c r="K340" s="200"/>
      <c r="L340" s="200"/>
      <c r="M340" s="129"/>
      <c r="N340" s="200"/>
      <c r="O340" s="200"/>
      <c r="P340" s="200"/>
      <c r="Q340" s="200">
        <v>7000</v>
      </c>
      <c r="R340" s="129">
        <f t="shared" si="23"/>
        <v>7000</v>
      </c>
      <c r="S340" s="200"/>
      <c r="T340" s="200"/>
      <c r="U340" s="200"/>
      <c r="V340" s="200"/>
      <c r="W340" s="129">
        <f t="shared" si="24"/>
        <v>0</v>
      </c>
    </row>
    <row r="341" spans="1:23" s="173" customFormat="1" ht="12.75" x14ac:dyDescent="0.2">
      <c r="A341" s="201" t="s">
        <v>707</v>
      </c>
      <c r="B341" s="202" t="s">
        <v>481</v>
      </c>
      <c r="C341" s="200"/>
      <c r="D341" s="200"/>
      <c r="E341" s="200"/>
      <c r="F341" s="200"/>
      <c r="G341" s="200"/>
      <c r="H341" s="129"/>
      <c r="I341" s="200"/>
      <c r="J341" s="200"/>
      <c r="K341" s="200"/>
      <c r="L341" s="200"/>
      <c r="M341" s="129">
        <f t="shared" si="22"/>
        <v>0</v>
      </c>
      <c r="N341" s="200"/>
      <c r="O341" s="200"/>
      <c r="P341" s="200"/>
      <c r="Q341" s="200"/>
      <c r="R341" s="129">
        <f t="shared" si="23"/>
        <v>0</v>
      </c>
      <c r="S341" s="200">
        <v>3600</v>
      </c>
      <c r="T341" s="200">
        <v>3600</v>
      </c>
      <c r="U341" s="200"/>
      <c r="V341" s="200"/>
      <c r="W341" s="129">
        <f t="shared" si="24"/>
        <v>7200</v>
      </c>
    </row>
    <row r="342" spans="1:23" s="173" customFormat="1" ht="12.75" x14ac:dyDescent="0.2">
      <c r="A342" s="201" t="s">
        <v>708</v>
      </c>
      <c r="B342" s="202" t="s">
        <v>709</v>
      </c>
      <c r="C342" s="200"/>
      <c r="D342" s="200"/>
      <c r="E342" s="200"/>
      <c r="F342" s="200"/>
      <c r="G342" s="200"/>
      <c r="H342" s="129">
        <f t="shared" si="25"/>
        <v>0</v>
      </c>
      <c r="I342" s="200"/>
      <c r="J342" s="200"/>
      <c r="K342" s="200"/>
      <c r="L342" s="200"/>
      <c r="M342" s="129">
        <f t="shared" si="22"/>
        <v>0</v>
      </c>
      <c r="N342" s="200"/>
      <c r="O342" s="200"/>
      <c r="P342" s="200"/>
      <c r="Q342" s="200"/>
      <c r="R342" s="129">
        <f t="shared" si="23"/>
        <v>0</v>
      </c>
      <c r="S342" s="200"/>
      <c r="T342" s="200"/>
      <c r="U342" s="200"/>
      <c r="V342" s="200"/>
      <c r="W342" s="129">
        <f t="shared" si="24"/>
        <v>0</v>
      </c>
    </row>
    <row r="343" spans="1:23" s="173" customFormat="1" ht="12.75" x14ac:dyDescent="0.2">
      <c r="A343" s="201" t="s">
        <v>710</v>
      </c>
      <c r="B343" s="202" t="s">
        <v>709</v>
      </c>
      <c r="C343" s="200"/>
      <c r="D343" s="200"/>
      <c r="E343" s="200"/>
      <c r="F343" s="200">
        <v>300</v>
      </c>
      <c r="G343" s="200"/>
      <c r="H343" s="129">
        <f t="shared" si="25"/>
        <v>300</v>
      </c>
      <c r="I343" s="200"/>
      <c r="J343" s="200"/>
      <c r="K343" s="200"/>
      <c r="L343" s="200"/>
      <c r="M343" s="129">
        <f t="shared" si="22"/>
        <v>0</v>
      </c>
      <c r="N343" s="200"/>
      <c r="O343" s="200"/>
      <c r="P343" s="200"/>
      <c r="Q343" s="200"/>
      <c r="R343" s="129">
        <f t="shared" si="23"/>
        <v>0</v>
      </c>
      <c r="S343" s="200"/>
      <c r="T343" s="200"/>
      <c r="U343" s="200"/>
      <c r="V343" s="200"/>
      <c r="W343" s="129">
        <f t="shared" si="24"/>
        <v>0</v>
      </c>
    </row>
    <row r="344" spans="1:23" s="173" customFormat="1" ht="12.75" x14ac:dyDescent="0.2">
      <c r="A344" s="201" t="s">
        <v>711</v>
      </c>
      <c r="B344" s="202" t="s">
        <v>712</v>
      </c>
      <c r="C344" s="200"/>
      <c r="D344" s="200"/>
      <c r="E344" s="200"/>
      <c r="F344" s="200"/>
      <c r="G344" s="200"/>
      <c r="H344" s="129">
        <f t="shared" si="25"/>
        <v>0</v>
      </c>
      <c r="I344" s="200"/>
      <c r="J344" s="200"/>
      <c r="K344" s="200"/>
      <c r="L344" s="200"/>
      <c r="M344" s="129">
        <f t="shared" si="22"/>
        <v>0</v>
      </c>
      <c r="N344" s="200"/>
      <c r="O344" s="200"/>
      <c r="P344" s="200"/>
      <c r="Q344" s="200"/>
      <c r="R344" s="129">
        <f t="shared" si="23"/>
        <v>0</v>
      </c>
      <c r="S344" s="200"/>
      <c r="T344" s="200"/>
      <c r="U344" s="200"/>
      <c r="V344" s="200"/>
      <c r="W344" s="129">
        <f t="shared" si="24"/>
        <v>0</v>
      </c>
    </row>
    <row r="345" spans="1:23" s="173" customFormat="1" ht="12.75" x14ac:dyDescent="0.2">
      <c r="A345" s="201" t="s">
        <v>713</v>
      </c>
      <c r="B345" s="202" t="s">
        <v>714</v>
      </c>
      <c r="C345" s="200"/>
      <c r="D345" s="200"/>
      <c r="E345" s="200"/>
      <c r="F345" s="200"/>
      <c r="G345" s="200"/>
      <c r="H345" s="129">
        <f t="shared" si="25"/>
        <v>0</v>
      </c>
      <c r="I345" s="200"/>
      <c r="J345" s="200"/>
      <c r="K345" s="200"/>
      <c r="L345" s="200"/>
      <c r="M345" s="129">
        <f t="shared" si="22"/>
        <v>0</v>
      </c>
      <c r="N345" s="200"/>
      <c r="O345" s="200"/>
      <c r="P345" s="200"/>
      <c r="Q345" s="200"/>
      <c r="R345" s="129">
        <f t="shared" si="23"/>
        <v>0</v>
      </c>
      <c r="S345" s="200"/>
      <c r="T345" s="200"/>
      <c r="U345" s="200"/>
      <c r="V345" s="200"/>
      <c r="W345" s="129">
        <f t="shared" si="24"/>
        <v>0</v>
      </c>
    </row>
    <row r="346" spans="1:23" s="173" customFormat="1" ht="12.75" x14ac:dyDescent="0.2">
      <c r="A346" s="201" t="s">
        <v>713</v>
      </c>
      <c r="B346" s="202" t="s">
        <v>715</v>
      </c>
      <c r="C346" s="200"/>
      <c r="D346" s="200"/>
      <c r="E346" s="200"/>
      <c r="F346" s="200"/>
      <c r="G346" s="200">
        <v>600</v>
      </c>
      <c r="H346" s="129">
        <f t="shared" si="25"/>
        <v>600</v>
      </c>
      <c r="I346" s="200"/>
      <c r="J346" s="200"/>
      <c r="K346" s="200"/>
      <c r="L346" s="200"/>
      <c r="M346" s="129">
        <f t="shared" si="22"/>
        <v>0</v>
      </c>
      <c r="N346" s="200"/>
      <c r="O346" s="200"/>
      <c r="P346" s="200"/>
      <c r="Q346" s="200"/>
      <c r="R346" s="129">
        <f t="shared" si="23"/>
        <v>0</v>
      </c>
      <c r="S346" s="200"/>
      <c r="T346" s="200"/>
      <c r="U346" s="200"/>
      <c r="V346" s="200"/>
      <c r="W346" s="129">
        <f t="shared" si="24"/>
        <v>0</v>
      </c>
    </row>
    <row r="347" spans="1:23" s="173" customFormat="1" ht="12.75" x14ac:dyDescent="0.2">
      <c r="A347" s="201" t="s">
        <v>711</v>
      </c>
      <c r="B347" s="202"/>
      <c r="C347" s="200"/>
      <c r="D347" s="200"/>
      <c r="E347" s="200"/>
      <c r="F347" s="200"/>
      <c r="G347" s="200"/>
      <c r="H347" s="129">
        <f t="shared" si="25"/>
        <v>0</v>
      </c>
      <c r="I347" s="200"/>
      <c r="J347" s="200"/>
      <c r="K347" s="200"/>
      <c r="L347" s="200"/>
      <c r="M347" s="129">
        <f t="shared" si="22"/>
        <v>0</v>
      </c>
      <c r="N347" s="200"/>
      <c r="O347" s="200"/>
      <c r="P347" s="200"/>
      <c r="Q347" s="200"/>
      <c r="R347" s="129">
        <f t="shared" si="23"/>
        <v>0</v>
      </c>
      <c r="S347" s="200"/>
      <c r="T347" s="200"/>
      <c r="U347" s="200"/>
      <c r="V347" s="200"/>
      <c r="W347" s="129">
        <f t="shared" si="24"/>
        <v>0</v>
      </c>
    </row>
    <row r="348" spans="1:23" s="173" customFormat="1" ht="12.75" x14ac:dyDescent="0.2">
      <c r="A348" s="201" t="s">
        <v>711</v>
      </c>
      <c r="B348" s="202"/>
      <c r="C348" s="200"/>
      <c r="D348" s="200"/>
      <c r="E348" s="200"/>
      <c r="F348" s="200"/>
      <c r="G348" s="200"/>
      <c r="H348" s="129">
        <f t="shared" si="25"/>
        <v>0</v>
      </c>
      <c r="I348" s="200"/>
      <c r="J348" s="200"/>
      <c r="K348" s="200"/>
      <c r="L348" s="200"/>
      <c r="M348" s="129">
        <f t="shared" si="22"/>
        <v>0</v>
      </c>
      <c r="N348" s="200"/>
      <c r="O348" s="200"/>
      <c r="P348" s="200"/>
      <c r="Q348" s="200"/>
      <c r="R348" s="129">
        <f t="shared" si="23"/>
        <v>0</v>
      </c>
      <c r="S348" s="200"/>
      <c r="T348" s="200"/>
      <c r="U348" s="200"/>
      <c r="V348" s="200"/>
      <c r="W348" s="129">
        <f t="shared" si="24"/>
        <v>0</v>
      </c>
    </row>
    <row r="349" spans="1:23" s="173" customFormat="1" ht="12.75" x14ac:dyDescent="0.2">
      <c r="A349" s="201" t="s">
        <v>711</v>
      </c>
      <c r="B349" s="202"/>
      <c r="C349" s="200"/>
      <c r="D349" s="200"/>
      <c r="E349" s="200"/>
      <c r="F349" s="200"/>
      <c r="G349" s="200"/>
      <c r="H349" s="129">
        <f t="shared" si="25"/>
        <v>0</v>
      </c>
      <c r="I349" s="200"/>
      <c r="J349" s="200"/>
      <c r="K349" s="200"/>
      <c r="L349" s="200"/>
      <c r="M349" s="129">
        <f t="shared" si="22"/>
        <v>0</v>
      </c>
      <c r="N349" s="200"/>
      <c r="O349" s="200"/>
      <c r="P349" s="200"/>
      <c r="Q349" s="200"/>
      <c r="R349" s="129">
        <f t="shared" si="23"/>
        <v>0</v>
      </c>
      <c r="S349" s="200"/>
      <c r="T349" s="200"/>
      <c r="U349" s="200"/>
      <c r="V349" s="200"/>
      <c r="W349" s="129">
        <f t="shared" si="24"/>
        <v>0</v>
      </c>
    </row>
    <row r="350" spans="1:23" s="173" customFormat="1" ht="12.75" x14ac:dyDescent="0.2">
      <c r="A350" s="201" t="s">
        <v>716</v>
      </c>
      <c r="B350" s="202" t="s">
        <v>717</v>
      </c>
      <c r="C350" s="200"/>
      <c r="D350" s="200"/>
      <c r="E350" s="200"/>
      <c r="F350" s="200"/>
      <c r="G350" s="200"/>
      <c r="H350" s="129">
        <f t="shared" si="25"/>
        <v>0</v>
      </c>
      <c r="I350" s="200"/>
      <c r="J350" s="200"/>
      <c r="K350" s="200"/>
      <c r="L350" s="200"/>
      <c r="M350" s="129">
        <f t="shared" si="22"/>
        <v>0</v>
      </c>
      <c r="N350" s="200"/>
      <c r="O350" s="200"/>
      <c r="P350" s="200"/>
      <c r="Q350" s="200"/>
      <c r="R350" s="129">
        <f t="shared" si="23"/>
        <v>0</v>
      </c>
      <c r="S350" s="200"/>
      <c r="T350" s="200"/>
      <c r="U350" s="200"/>
      <c r="V350" s="200"/>
      <c r="W350" s="129">
        <f t="shared" si="24"/>
        <v>0</v>
      </c>
    </row>
    <row r="351" spans="1:23" s="173" customFormat="1" ht="12.75" x14ac:dyDescent="0.2">
      <c r="A351" s="201" t="s">
        <v>718</v>
      </c>
      <c r="B351" s="202" t="s">
        <v>717</v>
      </c>
      <c r="C351" s="200"/>
      <c r="D351" s="200"/>
      <c r="E351" s="200"/>
      <c r="F351" s="200"/>
      <c r="G351" s="200"/>
      <c r="H351" s="129">
        <f t="shared" si="25"/>
        <v>0</v>
      </c>
      <c r="I351" s="200"/>
      <c r="J351" s="200"/>
      <c r="K351" s="200"/>
      <c r="L351" s="200"/>
      <c r="M351" s="129">
        <f t="shared" si="22"/>
        <v>0</v>
      </c>
      <c r="N351" s="200"/>
      <c r="O351" s="200"/>
      <c r="P351" s="200"/>
      <c r="Q351" s="200"/>
      <c r="R351" s="129">
        <f t="shared" si="23"/>
        <v>0</v>
      </c>
      <c r="S351" s="200"/>
      <c r="T351" s="200"/>
      <c r="U351" s="200"/>
      <c r="V351" s="200"/>
      <c r="W351" s="129">
        <f t="shared" si="24"/>
        <v>0</v>
      </c>
    </row>
    <row r="352" spans="1:23" s="173" customFormat="1" ht="12.75" x14ac:dyDescent="0.2">
      <c r="A352" s="201" t="s">
        <v>719</v>
      </c>
      <c r="B352" s="202" t="s">
        <v>717</v>
      </c>
      <c r="C352" s="200"/>
      <c r="D352" s="200">
        <v>1200</v>
      </c>
      <c r="E352" s="200"/>
      <c r="F352" s="200">
        <v>1600</v>
      </c>
      <c r="G352" s="200"/>
      <c r="H352" s="129">
        <f>SUM(D352:G352)</f>
        <v>2800</v>
      </c>
      <c r="I352" s="200"/>
      <c r="J352" s="200"/>
      <c r="K352" s="200"/>
      <c r="L352" s="200"/>
      <c r="M352" s="129">
        <f>SUM(I352:L352)</f>
        <v>0</v>
      </c>
      <c r="N352" s="200"/>
      <c r="O352" s="200"/>
      <c r="P352" s="200"/>
      <c r="Q352" s="200"/>
      <c r="R352" s="129">
        <f>SUM(N352:Q352)</f>
        <v>0</v>
      </c>
      <c r="S352" s="200"/>
      <c r="T352" s="200"/>
      <c r="U352" s="200"/>
      <c r="V352" s="200"/>
      <c r="W352" s="129">
        <f>SUM(S352:V352)</f>
        <v>0</v>
      </c>
    </row>
    <row r="353" spans="1:24" s="119" customFormat="1" ht="12.75" x14ac:dyDescent="0.2">
      <c r="A353" s="151"/>
      <c r="B353" s="195"/>
      <c r="C353" s="177"/>
      <c r="D353" s="177"/>
      <c r="E353" s="177"/>
      <c r="F353" s="177"/>
      <c r="G353" s="177"/>
      <c r="H353" s="129">
        <f t="shared" si="25"/>
        <v>0</v>
      </c>
      <c r="I353" s="180"/>
      <c r="J353" s="180"/>
      <c r="K353" s="180"/>
      <c r="L353" s="180"/>
      <c r="M353" s="129"/>
      <c r="N353" s="180"/>
      <c r="O353" s="180"/>
      <c r="P353" s="180"/>
      <c r="Q353" s="180"/>
      <c r="R353" s="129"/>
      <c r="S353" s="180"/>
      <c r="T353" s="180"/>
      <c r="U353" s="180"/>
      <c r="V353" s="180"/>
      <c r="W353" s="129"/>
    </row>
    <row r="354" spans="1:24" s="187" customFormat="1" ht="12.75" x14ac:dyDescent="0.2">
      <c r="A354" s="183" t="s">
        <v>720</v>
      </c>
      <c r="B354" s="184"/>
      <c r="C354" s="185">
        <v>435</v>
      </c>
      <c r="D354" s="185">
        <v>500</v>
      </c>
      <c r="E354" s="185">
        <f>+E355</f>
        <v>650</v>
      </c>
      <c r="F354" s="185">
        <f>+F355</f>
        <v>1390</v>
      </c>
      <c r="G354" s="185">
        <f>+G355</f>
        <v>800</v>
      </c>
      <c r="H354" s="184">
        <f t="shared" si="25"/>
        <v>3340</v>
      </c>
      <c r="I354" s="185">
        <f>+I355</f>
        <v>700</v>
      </c>
      <c r="J354" s="185">
        <f>+J355</f>
        <v>700</v>
      </c>
      <c r="K354" s="185">
        <f>+K355</f>
        <v>600</v>
      </c>
      <c r="L354" s="185">
        <f>+L355</f>
        <v>400</v>
      </c>
      <c r="M354" s="184">
        <f>SUM(I354:L354)</f>
        <v>2400</v>
      </c>
      <c r="N354" s="185">
        <f>+N355</f>
        <v>600</v>
      </c>
      <c r="O354" s="185">
        <f>+O355</f>
        <v>600</v>
      </c>
      <c r="P354" s="185">
        <f>+P355</f>
        <v>600</v>
      </c>
      <c r="Q354" s="185">
        <f>+Q355</f>
        <v>600</v>
      </c>
      <c r="R354" s="184">
        <f>SUM(N354:Q354)</f>
        <v>2400</v>
      </c>
      <c r="S354" s="185">
        <f>+S355</f>
        <v>0</v>
      </c>
      <c r="T354" s="185">
        <f>+T355</f>
        <v>0</v>
      </c>
      <c r="U354" s="185">
        <f>+U355</f>
        <v>0</v>
      </c>
      <c r="V354" s="185">
        <f>+V355</f>
        <v>0</v>
      </c>
      <c r="W354" s="184">
        <f>SUM(S354:V354)</f>
        <v>0</v>
      </c>
      <c r="X354" s="186">
        <v>42978</v>
      </c>
    </row>
    <row r="355" spans="1:24" s="119" customFormat="1" ht="36.75" customHeight="1" x14ac:dyDescent="0.2">
      <c r="A355" s="151" t="s">
        <v>721</v>
      </c>
      <c r="B355" s="195" t="s">
        <v>712</v>
      </c>
      <c r="C355" s="180">
        <v>435</v>
      </c>
      <c r="D355" s="177">
        <v>500</v>
      </c>
      <c r="E355" s="177">
        <v>650</v>
      </c>
      <c r="F355" s="177">
        <v>1390</v>
      </c>
      <c r="G355" s="177">
        <v>800</v>
      </c>
      <c r="H355" s="129">
        <f t="shared" si="25"/>
        <v>3340</v>
      </c>
      <c r="I355" s="177">
        <v>700</v>
      </c>
      <c r="J355" s="177">
        <v>700</v>
      </c>
      <c r="K355" s="177">
        <v>600</v>
      </c>
      <c r="L355" s="177">
        <v>400</v>
      </c>
      <c r="M355" s="129">
        <f>SUM(I355:L355)</f>
        <v>2400</v>
      </c>
      <c r="N355" s="177">
        <v>600</v>
      </c>
      <c r="O355" s="177">
        <v>600</v>
      </c>
      <c r="P355" s="177">
        <v>600</v>
      </c>
      <c r="Q355" s="177">
        <v>600</v>
      </c>
      <c r="R355" s="129">
        <f>SUM(N355:Q355)</f>
        <v>2400</v>
      </c>
      <c r="S355" s="177"/>
      <c r="T355" s="177"/>
      <c r="U355" s="177"/>
      <c r="V355" s="177"/>
      <c r="W355" s="129">
        <f>SUM(S355:V355)</f>
        <v>0</v>
      </c>
    </row>
    <row r="356" spans="1:24" s="119" customFormat="1" ht="12.75" x14ac:dyDescent="0.2">
      <c r="A356" s="203"/>
      <c r="B356" s="204"/>
      <c r="C356" s="180"/>
      <c r="D356" s="177"/>
      <c r="E356" s="177"/>
      <c r="F356" s="177"/>
      <c r="G356" s="177"/>
      <c r="H356" s="129"/>
      <c r="I356" s="177"/>
      <c r="J356" s="177"/>
      <c r="K356" s="177"/>
      <c r="L356" s="177"/>
      <c r="M356" s="129"/>
      <c r="N356" s="177"/>
      <c r="O356" s="205"/>
      <c r="P356" s="205"/>
      <c r="Q356" s="177"/>
      <c r="R356" s="129"/>
      <c r="S356" s="177"/>
      <c r="T356" s="205"/>
      <c r="U356" s="205"/>
      <c r="V356" s="177"/>
      <c r="W356" s="129"/>
    </row>
    <row r="357" spans="1:24" s="187" customFormat="1" ht="25.5" x14ac:dyDescent="0.2">
      <c r="A357" s="183" t="s">
        <v>722</v>
      </c>
      <c r="B357" s="184"/>
      <c r="C357" s="185">
        <f>+C358+C381</f>
        <v>65240</v>
      </c>
      <c r="D357" s="185">
        <f>+D358+D381</f>
        <v>12250</v>
      </c>
      <c r="E357" s="185">
        <f>+E358+E381</f>
        <v>10658</v>
      </c>
      <c r="F357" s="185">
        <f>+F358+F381</f>
        <v>5366</v>
      </c>
      <c r="G357" s="185">
        <f>+G358+G381</f>
        <v>15104</v>
      </c>
      <c r="H357" s="184">
        <f t="shared" ref="H357:H363" si="26">SUM(D357:G357)</f>
        <v>43378</v>
      </c>
      <c r="I357" s="185">
        <f>+I358+I381</f>
        <v>30000</v>
      </c>
      <c r="J357" s="185">
        <f>+J358+J381</f>
        <v>16000</v>
      </c>
      <c r="K357" s="185">
        <f>+K358+K381</f>
        <v>16000</v>
      </c>
      <c r="L357" s="185">
        <f>+L358+L381</f>
        <v>14000</v>
      </c>
      <c r="M357" s="184">
        <f>SUM(I357:L357)</f>
        <v>76000</v>
      </c>
      <c r="N357" s="185">
        <f>+N358+N381</f>
        <v>0</v>
      </c>
      <c r="O357" s="185">
        <f>+O358+O381</f>
        <v>28000</v>
      </c>
      <c r="P357" s="185">
        <f>+P358+P381</f>
        <v>27000</v>
      </c>
      <c r="Q357" s="185">
        <f>+Q358+Q381</f>
        <v>67000</v>
      </c>
      <c r="R357" s="184">
        <f>SUM(N357:Q357)</f>
        <v>122000</v>
      </c>
      <c r="S357" s="185">
        <f>+S358+S381</f>
        <v>0</v>
      </c>
      <c r="T357" s="185">
        <f>+T358+T381</f>
        <v>0</v>
      </c>
      <c r="U357" s="185">
        <f>+U358+U381</f>
        <v>0</v>
      </c>
      <c r="V357" s="185">
        <f>+V358+V381</f>
        <v>0</v>
      </c>
      <c r="W357" s="184">
        <f>SUM(S357:V357)</f>
        <v>0</v>
      </c>
      <c r="X357" s="186">
        <v>42978</v>
      </c>
    </row>
    <row r="358" spans="1:24" s="119" customFormat="1" ht="12.75" x14ac:dyDescent="0.2">
      <c r="A358" s="206" t="s">
        <v>723</v>
      </c>
      <c r="B358" s="207"/>
      <c r="C358" s="207">
        <f>SUM(C359:C380)</f>
        <v>15650</v>
      </c>
      <c r="D358" s="207">
        <f>SUM(D359:D380)</f>
        <v>12250</v>
      </c>
      <c r="E358" s="207">
        <f>SUM(E359:E380)</f>
        <v>10658</v>
      </c>
      <c r="F358" s="207">
        <f>SUM(F359:F380)</f>
        <v>3008</v>
      </c>
      <c r="G358" s="207">
        <f>SUM(G359:G380)</f>
        <v>9127</v>
      </c>
      <c r="H358" s="129">
        <f t="shared" si="26"/>
        <v>35043</v>
      </c>
      <c r="I358" s="207">
        <f>SUM(I359:I380)</f>
        <v>12000</v>
      </c>
      <c r="J358" s="207">
        <f>SUM(J359:J380)</f>
        <v>16000</v>
      </c>
      <c r="K358" s="207">
        <f>SUM(K359:K380)</f>
        <v>16000</v>
      </c>
      <c r="L358" s="207">
        <f>SUM(L359:L380)</f>
        <v>8000</v>
      </c>
      <c r="M358" s="208">
        <f>SUM(I358:L358)</f>
        <v>52000</v>
      </c>
      <c r="N358" s="207">
        <f>SUM(N359:N380)</f>
        <v>0</v>
      </c>
      <c r="O358" s="207">
        <f>SUM(O359:O380)</f>
        <v>10000</v>
      </c>
      <c r="P358" s="207">
        <f>SUM(P359:P380)</f>
        <v>18000</v>
      </c>
      <c r="Q358" s="207">
        <f>SUM(Q359:Q380)</f>
        <v>49000</v>
      </c>
      <c r="R358" s="208">
        <f>SUM(N358:Q358)</f>
        <v>77000</v>
      </c>
      <c r="S358" s="207">
        <f>SUM(S359:S380)</f>
        <v>0</v>
      </c>
      <c r="T358" s="207">
        <f>SUM(T359:T380)</f>
        <v>0</v>
      </c>
      <c r="U358" s="207">
        <f>SUM(U359:U380)</f>
        <v>0</v>
      </c>
      <c r="V358" s="207">
        <f>SUM(V359:V380)</f>
        <v>0</v>
      </c>
      <c r="W358" s="208">
        <f>SUM(S358:V358)</f>
        <v>0</v>
      </c>
    </row>
    <row r="359" spans="1:24" s="119" customFormat="1" ht="11.45" customHeight="1" x14ac:dyDescent="0.2">
      <c r="A359" s="151" t="s">
        <v>724</v>
      </c>
      <c r="B359" s="196" t="s">
        <v>725</v>
      </c>
      <c r="C359" s="180">
        <v>5600</v>
      </c>
      <c r="D359" s="177"/>
      <c r="E359" s="177"/>
      <c r="F359" s="177"/>
      <c r="G359" s="177"/>
      <c r="H359" s="129">
        <f t="shared" si="26"/>
        <v>0</v>
      </c>
      <c r="I359" s="177"/>
      <c r="J359" s="177"/>
      <c r="K359" s="177"/>
      <c r="L359" s="177"/>
      <c r="M359" s="209">
        <f t="shared" ref="M359:M380" si="27">I359+J359+K359+L359</f>
        <v>0</v>
      </c>
      <c r="N359" s="177"/>
      <c r="O359" s="177"/>
      <c r="P359" s="177"/>
      <c r="Q359" s="177"/>
      <c r="R359" s="209">
        <f t="shared" ref="R359:R380" si="28">O359+P359+Q359+N359</f>
        <v>0</v>
      </c>
      <c r="S359" s="177"/>
      <c r="T359" s="177"/>
      <c r="U359" s="177"/>
      <c r="V359" s="177"/>
      <c r="W359" s="209">
        <f>T359+U359+V359+S359</f>
        <v>0</v>
      </c>
    </row>
    <row r="360" spans="1:24" s="119" customFormat="1" ht="11.45" customHeight="1" x14ac:dyDescent="0.2">
      <c r="A360" s="151" t="s">
        <v>724</v>
      </c>
      <c r="B360" s="196" t="s">
        <v>726</v>
      </c>
      <c r="C360" s="180">
        <v>0</v>
      </c>
      <c r="D360" s="177"/>
      <c r="E360" s="177"/>
      <c r="F360" s="177"/>
      <c r="G360" s="177"/>
      <c r="H360" s="129">
        <f t="shared" si="26"/>
        <v>0</v>
      </c>
      <c r="I360" s="177"/>
      <c r="J360" s="177"/>
      <c r="K360" s="177"/>
      <c r="L360" s="177"/>
      <c r="M360" s="209">
        <f t="shared" si="27"/>
        <v>0</v>
      </c>
      <c r="N360" s="177"/>
      <c r="O360" s="177"/>
      <c r="P360" s="177"/>
      <c r="Q360" s="177"/>
      <c r="R360" s="209">
        <f t="shared" si="28"/>
        <v>0</v>
      </c>
      <c r="S360" s="177"/>
      <c r="T360" s="177"/>
      <c r="U360" s="177"/>
      <c r="V360" s="177"/>
      <c r="W360" s="209">
        <f>T360+U360+V360+S360</f>
        <v>0</v>
      </c>
    </row>
    <row r="361" spans="1:24" s="119" customFormat="1" ht="11.45" customHeight="1" x14ac:dyDescent="0.2">
      <c r="A361" s="151" t="s">
        <v>724</v>
      </c>
      <c r="B361" s="196" t="s">
        <v>601</v>
      </c>
      <c r="C361" s="180"/>
      <c r="D361" s="177">
        <v>9500</v>
      </c>
      <c r="E361" s="177">
        <v>7908</v>
      </c>
      <c r="F361" s="177">
        <f>19000-E361-D361</f>
        <v>1592</v>
      </c>
      <c r="G361" s="177"/>
      <c r="H361" s="129">
        <f>SUM(D361:G361)</f>
        <v>19000</v>
      </c>
      <c r="I361" s="177"/>
      <c r="J361" s="177"/>
      <c r="K361" s="177"/>
      <c r="L361" s="177"/>
      <c r="M361" s="209">
        <f>I361+J361+K361+L361</f>
        <v>0</v>
      </c>
      <c r="N361" s="177"/>
      <c r="O361" s="177"/>
      <c r="P361" s="177"/>
      <c r="Q361" s="177"/>
      <c r="R361" s="209">
        <f>O361+P361+Q361+N361</f>
        <v>0</v>
      </c>
      <c r="S361" s="177"/>
      <c r="T361" s="177"/>
      <c r="U361" s="177"/>
      <c r="V361" s="177"/>
      <c r="W361" s="209">
        <f>T361+U361+V361+S361</f>
        <v>0</v>
      </c>
    </row>
    <row r="362" spans="1:24" s="119" customFormat="1" ht="11.45" customHeight="1" x14ac:dyDescent="0.2">
      <c r="A362" s="151" t="s">
        <v>727</v>
      </c>
      <c r="B362" s="196" t="s">
        <v>692</v>
      </c>
      <c r="C362" s="180"/>
      <c r="D362" s="177"/>
      <c r="E362" s="177"/>
      <c r="F362" s="180"/>
      <c r="G362" s="177">
        <v>4000</v>
      </c>
      <c r="H362" s="129">
        <f t="shared" si="26"/>
        <v>4000</v>
      </c>
      <c r="I362" s="177">
        <v>4000</v>
      </c>
      <c r="J362" s="177"/>
      <c r="K362" s="177"/>
      <c r="L362" s="177"/>
      <c r="M362" s="209">
        <f>I362+J362+K362+L362</f>
        <v>4000</v>
      </c>
      <c r="N362" s="177"/>
      <c r="O362" s="177"/>
      <c r="P362" s="177"/>
      <c r="Q362" s="177"/>
      <c r="R362" s="209">
        <f>O362+P362+Q362+N362</f>
        <v>0</v>
      </c>
      <c r="S362" s="177"/>
      <c r="T362" s="177"/>
      <c r="U362" s="177"/>
      <c r="V362" s="177"/>
      <c r="W362" s="209">
        <f>T362+U362+V362+S362</f>
        <v>0</v>
      </c>
    </row>
    <row r="363" spans="1:24" s="119" customFormat="1" ht="11.45" customHeight="1" x14ac:dyDescent="0.2">
      <c r="A363" s="151" t="s">
        <v>727</v>
      </c>
      <c r="B363" s="196" t="s">
        <v>438</v>
      </c>
      <c r="C363" s="180"/>
      <c r="D363" s="180"/>
      <c r="E363" s="180"/>
      <c r="F363" s="177"/>
      <c r="G363" s="177"/>
      <c r="H363" s="129">
        <f t="shared" si="26"/>
        <v>0</v>
      </c>
      <c r="I363" s="177"/>
      <c r="J363" s="180">
        <v>8000</v>
      </c>
      <c r="K363" s="177"/>
      <c r="L363" s="177"/>
      <c r="M363" s="209">
        <f t="shared" si="27"/>
        <v>8000</v>
      </c>
      <c r="N363" s="177"/>
      <c r="O363" s="177"/>
      <c r="P363" s="177"/>
      <c r="Q363" s="177"/>
      <c r="R363" s="209">
        <f t="shared" si="28"/>
        <v>0</v>
      </c>
      <c r="S363" s="177"/>
      <c r="T363" s="177"/>
      <c r="U363" s="177"/>
      <c r="V363" s="177"/>
      <c r="W363" s="209">
        <f t="shared" ref="W363:W372" si="29">T363+U363+V363+S363</f>
        <v>0</v>
      </c>
    </row>
    <row r="364" spans="1:24" s="119" customFormat="1" ht="11.45" customHeight="1" x14ac:dyDescent="0.2">
      <c r="A364" s="151" t="s">
        <v>727</v>
      </c>
      <c r="B364" s="196" t="s">
        <v>728</v>
      </c>
      <c r="C364" s="180"/>
      <c r="D364" s="177"/>
      <c r="E364" s="180"/>
      <c r="F364" s="177"/>
      <c r="G364" s="177"/>
      <c r="H364" s="129">
        <f>SUM(D364:G364)</f>
        <v>0</v>
      </c>
      <c r="I364" s="177"/>
      <c r="J364" s="180"/>
      <c r="K364" s="180">
        <v>8000</v>
      </c>
      <c r="L364" s="177"/>
      <c r="M364" s="209">
        <f t="shared" si="27"/>
        <v>8000</v>
      </c>
      <c r="N364" s="177"/>
      <c r="O364" s="177"/>
      <c r="P364" s="177"/>
      <c r="Q364" s="177"/>
      <c r="R364" s="209">
        <f t="shared" si="28"/>
        <v>0</v>
      </c>
      <c r="S364" s="177"/>
      <c r="T364" s="177"/>
      <c r="U364" s="177"/>
      <c r="V364" s="177"/>
      <c r="W364" s="209">
        <f t="shared" si="29"/>
        <v>0</v>
      </c>
    </row>
    <row r="365" spans="1:24" s="119" customFormat="1" ht="11.45" customHeight="1" x14ac:dyDescent="0.2">
      <c r="A365" s="151" t="s">
        <v>727</v>
      </c>
      <c r="B365" s="196" t="s">
        <v>729</v>
      </c>
      <c r="C365" s="180"/>
      <c r="D365" s="177"/>
      <c r="E365" s="180"/>
      <c r="F365" s="177"/>
      <c r="G365" s="177"/>
      <c r="H365" s="129">
        <f>SUM(D365:G365)</f>
        <v>0</v>
      </c>
      <c r="I365" s="177"/>
      <c r="J365" s="177"/>
      <c r="K365" s="180">
        <v>8000</v>
      </c>
      <c r="L365" s="177"/>
      <c r="M365" s="209">
        <f t="shared" si="27"/>
        <v>8000</v>
      </c>
      <c r="N365" s="177"/>
      <c r="O365" s="177"/>
      <c r="P365" s="177"/>
      <c r="Q365" s="177"/>
      <c r="R365" s="209">
        <f t="shared" si="28"/>
        <v>0</v>
      </c>
      <c r="S365" s="177"/>
      <c r="T365" s="177"/>
      <c r="U365" s="177"/>
      <c r="V365" s="177"/>
      <c r="W365" s="209">
        <f t="shared" si="29"/>
        <v>0</v>
      </c>
    </row>
    <row r="366" spans="1:24" s="119" customFormat="1" ht="11.45" customHeight="1" x14ac:dyDescent="0.2">
      <c r="A366" s="151" t="s">
        <v>727</v>
      </c>
      <c r="B366" s="196" t="s">
        <v>693</v>
      </c>
      <c r="C366" s="180"/>
      <c r="D366" s="177"/>
      <c r="E366" s="177"/>
      <c r="F366" s="177"/>
      <c r="G366" s="177"/>
      <c r="H366" s="129">
        <f>SUM(D366:G366)</f>
        <v>0</v>
      </c>
      <c r="I366" s="177">
        <v>8000</v>
      </c>
      <c r="J366" s="177"/>
      <c r="K366" s="177"/>
      <c r="L366" s="177"/>
      <c r="M366" s="209">
        <f t="shared" si="27"/>
        <v>8000</v>
      </c>
      <c r="N366" s="177"/>
      <c r="O366" s="177"/>
      <c r="P366" s="177"/>
      <c r="Q366" s="177"/>
      <c r="R366" s="209">
        <f t="shared" si="28"/>
        <v>0</v>
      </c>
      <c r="S366" s="177"/>
      <c r="T366" s="177"/>
      <c r="U366" s="177"/>
      <c r="V366" s="177"/>
      <c r="W366" s="209">
        <f t="shared" si="29"/>
        <v>0</v>
      </c>
    </row>
    <row r="367" spans="1:24" s="119" customFormat="1" ht="11.45" customHeight="1" x14ac:dyDescent="0.2">
      <c r="A367" s="151" t="s">
        <v>727</v>
      </c>
      <c r="B367" s="196" t="s">
        <v>730</v>
      </c>
      <c r="C367" s="180"/>
      <c r="D367" s="177"/>
      <c r="E367" s="177"/>
      <c r="F367" s="177"/>
      <c r="G367" s="177"/>
      <c r="H367" s="129">
        <f t="shared" ref="H367:H380" si="30">SUM(D367:G367)</f>
        <v>0</v>
      </c>
      <c r="I367" s="177"/>
      <c r="J367" s="177">
        <v>8000</v>
      </c>
      <c r="K367" s="177"/>
      <c r="L367" s="177"/>
      <c r="M367" s="209">
        <f t="shared" si="27"/>
        <v>8000</v>
      </c>
      <c r="N367" s="177"/>
      <c r="O367" s="177"/>
      <c r="P367" s="177"/>
      <c r="Q367" s="177"/>
      <c r="R367" s="209">
        <f t="shared" si="28"/>
        <v>0</v>
      </c>
      <c r="S367" s="177"/>
      <c r="T367" s="177"/>
      <c r="U367" s="177"/>
      <c r="V367" s="177"/>
      <c r="W367" s="209">
        <f t="shared" si="29"/>
        <v>0</v>
      </c>
    </row>
    <row r="368" spans="1:24" s="119" customFormat="1" ht="11.45" customHeight="1" x14ac:dyDescent="0.2">
      <c r="A368" s="151" t="s">
        <v>727</v>
      </c>
      <c r="B368" s="196" t="s">
        <v>563</v>
      </c>
      <c r="C368" s="180"/>
      <c r="D368" s="177"/>
      <c r="E368" s="177"/>
      <c r="F368" s="177"/>
      <c r="G368" s="177"/>
      <c r="H368" s="129">
        <f t="shared" si="30"/>
        <v>0</v>
      </c>
      <c r="I368" s="177"/>
      <c r="J368" s="177"/>
      <c r="K368" s="177"/>
      <c r="L368" s="177">
        <v>8000</v>
      </c>
      <c r="M368" s="209">
        <f t="shared" si="27"/>
        <v>8000</v>
      </c>
      <c r="N368" s="177"/>
      <c r="O368" s="177"/>
      <c r="P368" s="177"/>
      <c r="Q368" s="177"/>
      <c r="R368" s="209">
        <f t="shared" si="28"/>
        <v>0</v>
      </c>
      <c r="S368" s="177"/>
      <c r="T368" s="177"/>
      <c r="U368" s="177"/>
      <c r="V368" s="177"/>
      <c r="W368" s="209">
        <f t="shared" si="29"/>
        <v>0</v>
      </c>
    </row>
    <row r="369" spans="1:23" s="119" customFormat="1" ht="11.45" customHeight="1" x14ac:dyDescent="0.2">
      <c r="A369" s="151" t="s">
        <v>727</v>
      </c>
      <c r="B369" s="196" t="s">
        <v>731</v>
      </c>
      <c r="C369" s="180"/>
      <c r="D369" s="177"/>
      <c r="E369" s="177"/>
      <c r="F369" s="177"/>
      <c r="G369" s="177"/>
      <c r="H369" s="129">
        <f t="shared" si="30"/>
        <v>0</v>
      </c>
      <c r="I369" s="177"/>
      <c r="J369" s="177"/>
      <c r="K369" s="177"/>
      <c r="L369" s="177"/>
      <c r="M369" s="209">
        <f t="shared" si="27"/>
        <v>0</v>
      </c>
      <c r="N369" s="177"/>
      <c r="O369" s="177"/>
      <c r="P369" s="177">
        <v>8000</v>
      </c>
      <c r="Q369" s="177"/>
      <c r="R369" s="209">
        <f t="shared" si="28"/>
        <v>8000</v>
      </c>
      <c r="S369" s="177"/>
      <c r="T369" s="177"/>
      <c r="U369" s="177"/>
      <c r="V369" s="177"/>
      <c r="W369" s="209">
        <f t="shared" si="29"/>
        <v>0</v>
      </c>
    </row>
    <row r="370" spans="1:23" s="119" customFormat="1" ht="11.45" customHeight="1" x14ac:dyDescent="0.2">
      <c r="A370" s="151" t="s">
        <v>727</v>
      </c>
      <c r="B370" s="196" t="s">
        <v>549</v>
      </c>
      <c r="C370" s="180"/>
      <c r="D370" s="177"/>
      <c r="E370" s="177"/>
      <c r="F370" s="177"/>
      <c r="G370" s="177"/>
      <c r="H370" s="129">
        <f t="shared" si="30"/>
        <v>0</v>
      </c>
      <c r="I370" s="177"/>
      <c r="J370" s="177"/>
      <c r="K370" s="177"/>
      <c r="L370" s="177"/>
      <c r="M370" s="209">
        <f t="shared" si="27"/>
        <v>0</v>
      </c>
      <c r="N370" s="177"/>
      <c r="O370" s="177"/>
      <c r="P370" s="177"/>
      <c r="Q370" s="177">
        <v>8000</v>
      </c>
      <c r="R370" s="209">
        <f t="shared" si="28"/>
        <v>8000</v>
      </c>
      <c r="S370" s="177"/>
      <c r="T370" s="177"/>
      <c r="U370" s="177"/>
      <c r="V370" s="177"/>
      <c r="W370" s="209">
        <f t="shared" si="29"/>
        <v>0</v>
      </c>
    </row>
    <row r="371" spans="1:23" s="119" customFormat="1" ht="11.45" customHeight="1" x14ac:dyDescent="0.2">
      <c r="A371" s="151" t="s">
        <v>727</v>
      </c>
      <c r="B371" s="196" t="s">
        <v>526</v>
      </c>
      <c r="C371" s="180"/>
      <c r="D371" s="177"/>
      <c r="E371" s="177"/>
      <c r="F371" s="177"/>
      <c r="G371" s="177"/>
      <c r="H371" s="129">
        <f t="shared" si="30"/>
        <v>0</v>
      </c>
      <c r="I371" s="177"/>
      <c r="J371" s="177"/>
      <c r="K371" s="177"/>
      <c r="L371" s="177"/>
      <c r="M371" s="209">
        <f t="shared" si="27"/>
        <v>0</v>
      </c>
      <c r="N371" s="177"/>
      <c r="O371" s="177"/>
      <c r="P371" s="177"/>
      <c r="Q371" s="177">
        <v>8000</v>
      </c>
      <c r="R371" s="209">
        <f t="shared" si="28"/>
        <v>8000</v>
      </c>
      <c r="S371" s="177"/>
      <c r="T371" s="177"/>
      <c r="U371" s="177"/>
      <c r="V371" s="177"/>
      <c r="W371" s="209">
        <f t="shared" si="29"/>
        <v>0</v>
      </c>
    </row>
    <row r="372" spans="1:23" s="119" customFormat="1" ht="11.45" customHeight="1" x14ac:dyDescent="0.2">
      <c r="A372" s="151" t="s">
        <v>727</v>
      </c>
      <c r="B372" s="196" t="s">
        <v>732</v>
      </c>
      <c r="C372" s="180"/>
      <c r="D372" s="177"/>
      <c r="E372" s="177"/>
      <c r="F372" s="177"/>
      <c r="G372" s="177"/>
      <c r="H372" s="129">
        <f t="shared" si="30"/>
        <v>0</v>
      </c>
      <c r="I372" s="177"/>
      <c r="J372" s="177"/>
      <c r="K372" s="177"/>
      <c r="L372" s="177"/>
      <c r="M372" s="209">
        <f t="shared" si="27"/>
        <v>0</v>
      </c>
      <c r="N372" s="177"/>
      <c r="O372" s="177"/>
      <c r="P372" s="177"/>
      <c r="Q372" s="177">
        <v>8000</v>
      </c>
      <c r="R372" s="209">
        <f t="shared" si="28"/>
        <v>8000</v>
      </c>
      <c r="S372" s="177"/>
      <c r="T372" s="177"/>
      <c r="U372" s="177"/>
      <c r="V372" s="177"/>
      <c r="W372" s="209">
        <f t="shared" si="29"/>
        <v>0</v>
      </c>
    </row>
    <row r="373" spans="1:23" s="119" customFormat="1" ht="11.45" customHeight="1" x14ac:dyDescent="0.2">
      <c r="A373" s="151" t="s">
        <v>727</v>
      </c>
      <c r="B373" s="196" t="s">
        <v>481</v>
      </c>
      <c r="C373" s="180"/>
      <c r="D373" s="177"/>
      <c r="E373" s="177"/>
      <c r="F373" s="177"/>
      <c r="G373" s="177"/>
      <c r="H373" s="129">
        <f t="shared" si="30"/>
        <v>0</v>
      </c>
      <c r="I373" s="177"/>
      <c r="J373" s="177"/>
      <c r="K373" s="177"/>
      <c r="L373" s="177"/>
      <c r="M373" s="209">
        <f>I373+J373+K373+L373</f>
        <v>0</v>
      </c>
      <c r="N373" s="177"/>
      <c r="O373" s="177"/>
      <c r="P373" s="177"/>
      <c r="Q373" s="177">
        <v>8000</v>
      </c>
      <c r="R373" s="209">
        <f>O373+P373+Q373+N373</f>
        <v>8000</v>
      </c>
      <c r="S373" s="177"/>
      <c r="T373" s="177"/>
      <c r="U373" s="177"/>
      <c r="V373" s="177"/>
      <c r="W373" s="209">
        <f>T373+U373+V373+S373</f>
        <v>0</v>
      </c>
    </row>
    <row r="374" spans="1:23" s="119" customFormat="1" ht="11.45" customHeight="1" x14ac:dyDescent="0.2">
      <c r="A374" s="151" t="s">
        <v>733</v>
      </c>
      <c r="B374" s="196" t="s">
        <v>734</v>
      </c>
      <c r="C374" s="180">
        <v>5500</v>
      </c>
      <c r="D374" s="177"/>
      <c r="E374" s="177"/>
      <c r="F374" s="177"/>
      <c r="G374" s="177"/>
      <c r="H374" s="129">
        <f t="shared" si="30"/>
        <v>0</v>
      </c>
      <c r="I374" s="177"/>
      <c r="J374" s="177"/>
      <c r="K374" s="177"/>
      <c r="L374" s="177"/>
      <c r="M374" s="209">
        <f t="shared" si="27"/>
        <v>0</v>
      </c>
      <c r="N374" s="177"/>
      <c r="O374" s="177"/>
      <c r="P374" s="177">
        <v>5000</v>
      </c>
      <c r="Q374" s="177"/>
      <c r="R374" s="209">
        <f t="shared" si="28"/>
        <v>5000</v>
      </c>
      <c r="S374" s="177"/>
      <c r="T374" s="177"/>
      <c r="U374" s="177"/>
      <c r="V374" s="177"/>
      <c r="W374" s="209">
        <f t="shared" ref="W374:W380" si="31">T374+U374+V374+S374</f>
        <v>0</v>
      </c>
    </row>
    <row r="375" spans="1:23" s="119" customFormat="1" ht="11.45" customHeight="1" x14ac:dyDescent="0.2">
      <c r="A375" s="151" t="s">
        <v>733</v>
      </c>
      <c r="B375" s="196" t="s">
        <v>735</v>
      </c>
      <c r="C375" s="180">
        <v>850</v>
      </c>
      <c r="D375" s="177"/>
      <c r="E375" s="177"/>
      <c r="F375" s="177"/>
      <c r="G375" s="177"/>
      <c r="H375" s="129">
        <f t="shared" si="30"/>
        <v>0</v>
      </c>
      <c r="I375" s="177"/>
      <c r="J375" s="177"/>
      <c r="K375" s="177"/>
      <c r="L375" s="177"/>
      <c r="M375" s="209">
        <f t="shared" si="27"/>
        <v>0</v>
      </c>
      <c r="N375" s="177"/>
      <c r="O375" s="177"/>
      <c r="P375" s="177">
        <v>5000</v>
      </c>
      <c r="Q375" s="177"/>
      <c r="R375" s="209">
        <f t="shared" si="28"/>
        <v>5000</v>
      </c>
      <c r="S375" s="177"/>
      <c r="T375" s="177"/>
      <c r="U375" s="177"/>
      <c r="V375" s="177"/>
      <c r="W375" s="209">
        <f t="shared" si="31"/>
        <v>0</v>
      </c>
    </row>
    <row r="376" spans="1:23" s="119" customFormat="1" ht="11.45" customHeight="1" x14ac:dyDescent="0.2">
      <c r="A376" s="151" t="s">
        <v>733</v>
      </c>
      <c r="B376" s="196" t="s">
        <v>736</v>
      </c>
      <c r="C376" s="180"/>
      <c r="D376" s="177">
        <v>1375</v>
      </c>
      <c r="E376" s="177">
        <v>1375</v>
      </c>
      <c r="F376" s="177"/>
      <c r="G376" s="177"/>
      <c r="H376" s="129">
        <f t="shared" si="30"/>
        <v>2750</v>
      </c>
      <c r="I376" s="177"/>
      <c r="J376" s="177"/>
      <c r="K376" s="177"/>
      <c r="L376" s="177"/>
      <c r="M376" s="209">
        <f t="shared" si="27"/>
        <v>0</v>
      </c>
      <c r="N376" s="177"/>
      <c r="O376" s="177"/>
      <c r="P376" s="177"/>
      <c r="Q376" s="177">
        <v>3500</v>
      </c>
      <c r="R376" s="209">
        <f t="shared" si="28"/>
        <v>3500</v>
      </c>
      <c r="S376" s="177"/>
      <c r="T376" s="177"/>
      <c r="U376" s="177"/>
      <c r="V376" s="177"/>
      <c r="W376" s="209">
        <f t="shared" si="31"/>
        <v>0</v>
      </c>
    </row>
    <row r="377" spans="1:23" s="119" customFormat="1" ht="11.45" customHeight="1" x14ac:dyDescent="0.2">
      <c r="A377" s="151" t="s">
        <v>733</v>
      </c>
      <c r="B377" s="196" t="s">
        <v>737</v>
      </c>
      <c r="C377" s="180"/>
      <c r="D377" s="177">
        <v>1375</v>
      </c>
      <c r="E377" s="177">
        <v>1375</v>
      </c>
      <c r="F377" s="177"/>
      <c r="G377" s="177"/>
      <c r="H377" s="129">
        <f t="shared" si="30"/>
        <v>2750</v>
      </c>
      <c r="I377" s="177"/>
      <c r="J377" s="177"/>
      <c r="K377" s="177"/>
      <c r="L377" s="177"/>
      <c r="M377" s="209">
        <f t="shared" si="27"/>
        <v>0</v>
      </c>
      <c r="N377" s="177"/>
      <c r="O377" s="177"/>
      <c r="P377" s="177"/>
      <c r="Q377" s="177">
        <v>3500</v>
      </c>
      <c r="R377" s="209">
        <f t="shared" si="28"/>
        <v>3500</v>
      </c>
      <c r="S377" s="177"/>
      <c r="T377" s="177"/>
      <c r="U377" s="177"/>
      <c r="V377" s="177"/>
      <c r="W377" s="209">
        <f t="shared" si="31"/>
        <v>0</v>
      </c>
    </row>
    <row r="378" spans="1:23" s="119" customFormat="1" ht="11.45" customHeight="1" x14ac:dyDescent="0.2">
      <c r="A378" s="151" t="s">
        <v>738</v>
      </c>
      <c r="B378" s="196"/>
      <c r="C378" s="180">
        <v>1200</v>
      </c>
      <c r="D378" s="177"/>
      <c r="E378" s="177"/>
      <c r="F378" s="177">
        <v>1416</v>
      </c>
      <c r="G378" s="177">
        <v>2127</v>
      </c>
      <c r="H378" s="129">
        <f t="shared" si="30"/>
        <v>3543</v>
      </c>
      <c r="I378" s="177"/>
      <c r="J378" s="177"/>
      <c r="K378" s="177"/>
      <c r="L378" s="177"/>
      <c r="M378" s="209">
        <f t="shared" si="27"/>
        <v>0</v>
      </c>
      <c r="N378" s="177"/>
      <c r="O378" s="177">
        <v>10000</v>
      </c>
      <c r="P378" s="177"/>
      <c r="Q378" s="177"/>
      <c r="R378" s="209">
        <f t="shared" si="28"/>
        <v>10000</v>
      </c>
      <c r="S378" s="177"/>
      <c r="T378" s="177"/>
      <c r="U378" s="177"/>
      <c r="V378" s="177"/>
      <c r="W378" s="209">
        <f t="shared" si="31"/>
        <v>0</v>
      </c>
    </row>
    <row r="379" spans="1:23" s="119" customFormat="1" ht="11.45" customHeight="1" x14ac:dyDescent="0.2">
      <c r="A379" s="151" t="s">
        <v>739</v>
      </c>
      <c r="B379" s="196"/>
      <c r="C379" s="180"/>
      <c r="D379" s="177"/>
      <c r="E379" s="177"/>
      <c r="F379" s="177"/>
      <c r="G379" s="177">
        <v>3000</v>
      </c>
      <c r="H379" s="129">
        <f t="shared" si="30"/>
        <v>3000</v>
      </c>
      <c r="I379" s="177"/>
      <c r="J379" s="177"/>
      <c r="K379" s="177"/>
      <c r="L379" s="177"/>
      <c r="M379" s="209">
        <f t="shared" si="27"/>
        <v>0</v>
      </c>
      <c r="N379" s="177"/>
      <c r="O379" s="177"/>
      <c r="P379" s="177"/>
      <c r="Q379" s="177">
        <v>10000</v>
      </c>
      <c r="R379" s="209">
        <f t="shared" si="28"/>
        <v>10000</v>
      </c>
      <c r="S379" s="177"/>
      <c r="T379" s="177"/>
      <c r="U379" s="177"/>
      <c r="V379" s="177"/>
      <c r="W379" s="209">
        <f t="shared" si="31"/>
        <v>0</v>
      </c>
    </row>
    <row r="380" spans="1:23" s="119" customFormat="1" ht="11.45" customHeight="1" x14ac:dyDescent="0.2">
      <c r="A380" s="151" t="s">
        <v>740</v>
      </c>
      <c r="B380" s="196" t="s">
        <v>741</v>
      </c>
      <c r="C380" s="180">
        <v>2500</v>
      </c>
      <c r="D380" s="177"/>
      <c r="E380" s="177"/>
      <c r="F380" s="177"/>
      <c r="G380" s="177"/>
      <c r="H380" s="129">
        <f t="shared" si="30"/>
        <v>0</v>
      </c>
      <c r="I380" s="177"/>
      <c r="J380" s="177"/>
      <c r="K380" s="177"/>
      <c r="L380" s="177"/>
      <c r="M380" s="209">
        <f t="shared" si="27"/>
        <v>0</v>
      </c>
      <c r="N380" s="177"/>
      <c r="O380" s="177"/>
      <c r="P380" s="177"/>
      <c r="Q380" s="177"/>
      <c r="R380" s="209">
        <f t="shared" si="28"/>
        <v>0</v>
      </c>
      <c r="S380" s="177"/>
      <c r="T380" s="177"/>
      <c r="U380" s="177"/>
      <c r="V380" s="177"/>
      <c r="W380" s="209">
        <f t="shared" si="31"/>
        <v>0</v>
      </c>
    </row>
    <row r="381" spans="1:23" s="119" customFormat="1" ht="11.45" customHeight="1" x14ac:dyDescent="0.2">
      <c r="A381" s="206" t="s">
        <v>742</v>
      </c>
      <c r="B381" s="207"/>
      <c r="C381" s="207">
        <f>SUM(C382:C431)</f>
        <v>49590</v>
      </c>
      <c r="D381" s="207">
        <f>SUM(D382:D431)</f>
        <v>0</v>
      </c>
      <c r="E381" s="207">
        <f>SUM(E382:E431)</f>
        <v>0</v>
      </c>
      <c r="F381" s="207">
        <f>SUM(F382:F431)</f>
        <v>2358</v>
      </c>
      <c r="G381" s="207">
        <f>SUM(G382:G431)</f>
        <v>5977</v>
      </c>
      <c r="H381" s="129">
        <f>SUM(D381:G381)</f>
        <v>8335</v>
      </c>
      <c r="I381" s="207">
        <f>SUM(I382:I431)</f>
        <v>18000</v>
      </c>
      <c r="J381" s="207">
        <f>SUM(J382:J431)</f>
        <v>0</v>
      </c>
      <c r="K381" s="207">
        <f>SUM(K382:K431)</f>
        <v>0</v>
      </c>
      <c r="L381" s="207">
        <f>SUM(L382:L431)</f>
        <v>6000</v>
      </c>
      <c r="M381" s="208">
        <f>SUM(I381:L381)</f>
        <v>24000</v>
      </c>
      <c r="N381" s="207">
        <f>SUM(N382:N431)</f>
        <v>0</v>
      </c>
      <c r="O381" s="207">
        <f>SUM(O382:O431)</f>
        <v>18000</v>
      </c>
      <c r="P381" s="207">
        <f>SUM(P382:P431)</f>
        <v>9000</v>
      </c>
      <c r="Q381" s="207">
        <f>SUM(Q382:Q431)</f>
        <v>18000</v>
      </c>
      <c r="R381" s="208">
        <f>SUM(N381:Q381)</f>
        <v>45000</v>
      </c>
      <c r="S381" s="207">
        <f>SUM(S382:S431)</f>
        <v>0</v>
      </c>
      <c r="T381" s="207">
        <f>SUM(T382:T431)</f>
        <v>0</v>
      </c>
      <c r="U381" s="207">
        <f>SUM(U382:U431)</f>
        <v>0</v>
      </c>
      <c r="V381" s="207">
        <f>SUM(V382:V431)</f>
        <v>0</v>
      </c>
      <c r="W381" s="208">
        <f>SUM(S381:V381)</f>
        <v>0</v>
      </c>
    </row>
    <row r="382" spans="1:23" s="119" customFormat="1" ht="12" customHeight="1" x14ac:dyDescent="0.2">
      <c r="A382" s="151" t="s">
        <v>743</v>
      </c>
      <c r="B382" s="196" t="s">
        <v>744</v>
      </c>
      <c r="C382" s="180">
        <v>11000</v>
      </c>
      <c r="D382" s="177"/>
      <c r="E382" s="177"/>
      <c r="F382" s="177"/>
      <c r="G382" s="177"/>
      <c r="H382" s="129">
        <f>SUM(D382:G382)</f>
        <v>0</v>
      </c>
      <c r="I382" s="177"/>
      <c r="J382" s="177"/>
      <c r="K382" s="177"/>
      <c r="L382" s="177"/>
      <c r="M382" s="209">
        <f t="shared" ref="M382:M430" si="32">I382+J382+K382+L382</f>
        <v>0</v>
      </c>
      <c r="N382" s="177"/>
      <c r="O382" s="177"/>
      <c r="P382" s="177"/>
      <c r="Q382" s="177">
        <v>9000</v>
      </c>
      <c r="R382" s="209">
        <f t="shared" ref="R382:R430" si="33">N382+O382+P382+Q382</f>
        <v>9000</v>
      </c>
      <c r="S382" s="177"/>
      <c r="T382" s="177"/>
      <c r="U382" s="177"/>
      <c r="V382" s="177"/>
      <c r="W382" s="209">
        <f t="shared" ref="W382:W430" si="34">S382+T382+U382+V382</f>
        <v>0</v>
      </c>
    </row>
    <row r="383" spans="1:23" s="119" customFormat="1" ht="12" customHeight="1" x14ac:dyDescent="0.2">
      <c r="A383" s="151" t="s">
        <v>743</v>
      </c>
      <c r="B383" s="196" t="s">
        <v>745</v>
      </c>
      <c r="C383" s="180">
        <v>8500</v>
      </c>
      <c r="D383" s="177"/>
      <c r="E383" s="177"/>
      <c r="F383" s="177"/>
      <c r="G383" s="177"/>
      <c r="H383" s="129">
        <f>SUM(D383:G383)</f>
        <v>0</v>
      </c>
      <c r="I383" s="177"/>
      <c r="J383" s="177"/>
      <c r="K383" s="177"/>
      <c r="L383" s="177"/>
      <c r="M383" s="209">
        <f t="shared" si="32"/>
        <v>0</v>
      </c>
      <c r="N383" s="177"/>
      <c r="O383" s="177"/>
      <c r="P383" s="177"/>
      <c r="Q383" s="177">
        <v>9000</v>
      </c>
      <c r="R383" s="209">
        <f t="shared" si="33"/>
        <v>9000</v>
      </c>
      <c r="S383" s="177"/>
      <c r="T383" s="177"/>
      <c r="U383" s="177"/>
      <c r="V383" s="177"/>
      <c r="W383" s="209">
        <f t="shared" si="34"/>
        <v>0</v>
      </c>
    </row>
    <row r="384" spans="1:23" s="119" customFormat="1" ht="12" customHeight="1" x14ac:dyDescent="0.2">
      <c r="A384" s="151" t="s">
        <v>746</v>
      </c>
      <c r="B384" s="196" t="s">
        <v>747</v>
      </c>
      <c r="C384" s="180"/>
      <c r="D384" s="177"/>
      <c r="E384" s="177"/>
      <c r="F384" s="177"/>
      <c r="G384" s="177"/>
      <c r="H384" s="129">
        <f>SUM(D384:G384)</f>
        <v>0</v>
      </c>
      <c r="I384" s="177"/>
      <c r="J384" s="177"/>
      <c r="K384" s="177"/>
      <c r="L384" s="177">
        <v>6000</v>
      </c>
      <c r="M384" s="209">
        <f t="shared" si="32"/>
        <v>6000</v>
      </c>
      <c r="N384" s="177"/>
      <c r="O384" s="177"/>
      <c r="P384" s="177"/>
      <c r="Q384" s="177"/>
      <c r="R384" s="209">
        <f t="shared" si="33"/>
        <v>0</v>
      </c>
      <c r="S384" s="177"/>
      <c r="T384" s="177"/>
      <c r="U384" s="177"/>
      <c r="V384" s="177"/>
      <c r="W384" s="209">
        <f t="shared" si="34"/>
        <v>0</v>
      </c>
    </row>
    <row r="385" spans="1:23" s="119" customFormat="1" ht="12" customHeight="1" x14ac:dyDescent="0.2">
      <c r="A385" s="151" t="s">
        <v>746</v>
      </c>
      <c r="B385" s="196" t="s">
        <v>748</v>
      </c>
      <c r="C385" s="180">
        <v>1800</v>
      </c>
      <c r="D385" s="177"/>
      <c r="E385" s="177"/>
      <c r="F385" s="177"/>
      <c r="G385" s="177"/>
      <c r="H385" s="129">
        <f>SUM(D385:G385)</f>
        <v>0</v>
      </c>
      <c r="I385" s="177"/>
      <c r="J385" s="177"/>
      <c r="K385" s="177"/>
      <c r="L385" s="177"/>
      <c r="M385" s="209">
        <f t="shared" si="32"/>
        <v>0</v>
      </c>
      <c r="N385" s="177"/>
      <c r="O385" s="177">
        <v>6000</v>
      </c>
      <c r="P385" s="177"/>
      <c r="Q385" s="177"/>
      <c r="R385" s="209">
        <f t="shared" si="33"/>
        <v>6000</v>
      </c>
      <c r="S385" s="177"/>
      <c r="T385" s="177"/>
      <c r="U385" s="177"/>
      <c r="V385" s="177"/>
      <c r="W385" s="209">
        <f t="shared" si="34"/>
        <v>0</v>
      </c>
    </row>
    <row r="386" spans="1:23" s="119" customFormat="1" ht="12" customHeight="1" x14ac:dyDescent="0.2">
      <c r="A386" s="151" t="s">
        <v>746</v>
      </c>
      <c r="B386" s="196" t="s">
        <v>749</v>
      </c>
      <c r="C386" s="180">
        <v>3900</v>
      </c>
      <c r="D386" s="177"/>
      <c r="E386" s="177"/>
      <c r="F386" s="177"/>
      <c r="G386" s="177"/>
      <c r="H386" s="129">
        <f t="shared" ref="H386:H431" si="35">SUM(D386:G386)</f>
        <v>0</v>
      </c>
      <c r="I386" s="177"/>
      <c r="J386" s="177"/>
      <c r="K386" s="177"/>
      <c r="L386" s="177"/>
      <c r="M386" s="209">
        <f t="shared" si="32"/>
        <v>0</v>
      </c>
      <c r="N386" s="177"/>
      <c r="O386" s="177">
        <v>6000</v>
      </c>
      <c r="P386" s="177"/>
      <c r="Q386" s="177"/>
      <c r="R386" s="209">
        <f t="shared" si="33"/>
        <v>6000</v>
      </c>
      <c r="S386" s="177"/>
      <c r="T386" s="177"/>
      <c r="U386" s="177"/>
      <c r="V386" s="177"/>
      <c r="W386" s="209">
        <f t="shared" si="34"/>
        <v>0</v>
      </c>
    </row>
    <row r="387" spans="1:23" s="119" customFormat="1" ht="12" customHeight="1" x14ac:dyDescent="0.2">
      <c r="A387" s="151" t="s">
        <v>746</v>
      </c>
      <c r="B387" s="196" t="s">
        <v>750</v>
      </c>
      <c r="C387" s="180">
        <v>1800</v>
      </c>
      <c r="D387" s="177"/>
      <c r="E387" s="177"/>
      <c r="F387" s="177"/>
      <c r="G387" s="177"/>
      <c r="H387" s="129">
        <f t="shared" si="35"/>
        <v>0</v>
      </c>
      <c r="I387" s="177"/>
      <c r="J387" s="177"/>
      <c r="K387" s="177"/>
      <c r="L387" s="177"/>
      <c r="M387" s="209">
        <f t="shared" si="32"/>
        <v>0</v>
      </c>
      <c r="N387" s="177"/>
      <c r="O387" s="177">
        <v>6000</v>
      </c>
      <c r="P387" s="177"/>
      <c r="Q387" s="177"/>
      <c r="R387" s="209">
        <f t="shared" si="33"/>
        <v>6000</v>
      </c>
      <c r="S387" s="177"/>
      <c r="T387" s="177"/>
      <c r="U387" s="177"/>
      <c r="V387" s="177"/>
      <c r="W387" s="209">
        <f t="shared" si="34"/>
        <v>0</v>
      </c>
    </row>
    <row r="388" spans="1:23" s="119" customFormat="1" ht="12.75" customHeight="1" x14ac:dyDescent="0.2">
      <c r="A388" s="151" t="s">
        <v>751</v>
      </c>
      <c r="B388" s="196" t="s">
        <v>752</v>
      </c>
      <c r="C388" s="180"/>
      <c r="D388" s="177"/>
      <c r="E388" s="177"/>
      <c r="F388" s="177"/>
      <c r="G388" s="177"/>
      <c r="H388" s="129">
        <f t="shared" si="35"/>
        <v>0</v>
      </c>
      <c r="I388" s="177"/>
      <c r="J388" s="177"/>
      <c r="K388" s="177"/>
      <c r="L388" s="177"/>
      <c r="M388" s="209">
        <f t="shared" si="32"/>
        <v>0</v>
      </c>
      <c r="N388" s="177"/>
      <c r="O388" s="177"/>
      <c r="P388" s="177"/>
      <c r="Q388" s="177"/>
      <c r="R388" s="209">
        <f t="shared" si="33"/>
        <v>0</v>
      </c>
      <c r="S388" s="177"/>
      <c r="T388" s="177"/>
      <c r="U388" s="177"/>
      <c r="V388" s="177"/>
      <c r="W388" s="209">
        <f t="shared" si="34"/>
        <v>0</v>
      </c>
    </row>
    <row r="389" spans="1:23" s="119" customFormat="1" ht="12" customHeight="1" x14ac:dyDescent="0.2">
      <c r="A389" s="151" t="s">
        <v>751</v>
      </c>
      <c r="B389" s="196" t="s">
        <v>753</v>
      </c>
      <c r="C389" s="180"/>
      <c r="D389" s="177"/>
      <c r="E389" s="177"/>
      <c r="F389" s="177"/>
      <c r="G389" s="177"/>
      <c r="H389" s="129">
        <f t="shared" si="35"/>
        <v>0</v>
      </c>
      <c r="I389" s="177"/>
      <c r="J389" s="177"/>
      <c r="K389" s="177"/>
      <c r="L389" s="177"/>
      <c r="M389" s="209">
        <f t="shared" si="32"/>
        <v>0</v>
      </c>
      <c r="N389" s="177"/>
      <c r="O389" s="177"/>
      <c r="P389" s="177"/>
      <c r="Q389" s="177"/>
      <c r="R389" s="209">
        <f t="shared" si="33"/>
        <v>0</v>
      </c>
      <c r="S389" s="177"/>
      <c r="T389" s="177"/>
      <c r="U389" s="177"/>
      <c r="V389" s="177"/>
      <c r="W389" s="209">
        <f t="shared" si="34"/>
        <v>0</v>
      </c>
    </row>
    <row r="390" spans="1:23" s="119" customFormat="1" ht="12" customHeight="1" x14ac:dyDescent="0.2">
      <c r="A390" s="151" t="s">
        <v>751</v>
      </c>
      <c r="B390" s="196" t="s">
        <v>754</v>
      </c>
      <c r="C390" s="180"/>
      <c r="D390" s="177"/>
      <c r="E390" s="177"/>
      <c r="F390" s="177"/>
      <c r="G390" s="177"/>
      <c r="H390" s="129">
        <f t="shared" si="35"/>
        <v>0</v>
      </c>
      <c r="I390" s="177"/>
      <c r="J390" s="177"/>
      <c r="K390" s="177"/>
      <c r="L390" s="177"/>
      <c r="M390" s="209">
        <f t="shared" si="32"/>
        <v>0</v>
      </c>
      <c r="N390" s="177"/>
      <c r="O390" s="177"/>
      <c r="P390" s="177"/>
      <c r="Q390" s="177"/>
      <c r="R390" s="209">
        <f t="shared" si="33"/>
        <v>0</v>
      </c>
      <c r="S390" s="177"/>
      <c r="T390" s="177"/>
      <c r="U390" s="177"/>
      <c r="V390" s="177"/>
      <c r="W390" s="209">
        <f t="shared" si="34"/>
        <v>0</v>
      </c>
    </row>
    <row r="391" spans="1:23" s="119" customFormat="1" ht="12" customHeight="1" x14ac:dyDescent="0.2">
      <c r="A391" s="151" t="s">
        <v>746</v>
      </c>
      <c r="B391" s="210" t="s">
        <v>755</v>
      </c>
      <c r="C391" s="211"/>
      <c r="D391" s="212"/>
      <c r="E391" s="212"/>
      <c r="F391" s="212"/>
      <c r="G391" s="212"/>
      <c r="H391" s="213">
        <f t="shared" si="35"/>
        <v>0</v>
      </c>
      <c r="I391" s="212"/>
      <c r="J391" s="177"/>
      <c r="K391" s="177"/>
      <c r="L391" s="177"/>
      <c r="M391" s="209">
        <f t="shared" si="32"/>
        <v>0</v>
      </c>
      <c r="N391" s="177"/>
      <c r="O391" s="177"/>
      <c r="P391" s="177">
        <v>4000</v>
      </c>
      <c r="Q391" s="177"/>
      <c r="R391" s="209">
        <f t="shared" si="33"/>
        <v>4000</v>
      </c>
      <c r="S391" s="177"/>
      <c r="T391" s="177"/>
      <c r="U391" s="177"/>
      <c r="V391" s="177"/>
      <c r="W391" s="209">
        <f t="shared" si="34"/>
        <v>0</v>
      </c>
    </row>
    <row r="392" spans="1:23" s="119" customFormat="1" ht="12" customHeight="1" x14ac:dyDescent="0.2">
      <c r="A392" s="151" t="s">
        <v>756</v>
      </c>
      <c r="B392" s="196" t="s">
        <v>757</v>
      </c>
      <c r="C392" s="180"/>
      <c r="D392" s="177"/>
      <c r="E392" s="214"/>
      <c r="F392" s="211"/>
      <c r="G392" s="212"/>
      <c r="H392" s="212"/>
      <c r="I392" s="177"/>
      <c r="J392" s="177"/>
      <c r="K392" s="177"/>
      <c r="L392" s="177"/>
      <c r="M392" s="209"/>
      <c r="N392" s="177"/>
      <c r="O392" s="177"/>
      <c r="P392" s="177"/>
      <c r="Q392" s="177"/>
      <c r="R392" s="209"/>
      <c r="S392" s="177"/>
      <c r="T392" s="177"/>
      <c r="U392" s="177"/>
      <c r="V392" s="177"/>
      <c r="W392" s="209"/>
    </row>
    <row r="393" spans="1:23" s="119" customFormat="1" ht="12" customHeight="1" x14ac:dyDescent="0.2">
      <c r="A393" s="151" t="s">
        <v>756</v>
      </c>
      <c r="B393" s="196" t="s">
        <v>758</v>
      </c>
      <c r="C393" s="180"/>
      <c r="D393" s="177"/>
      <c r="E393" s="214"/>
      <c r="F393" s="215"/>
      <c r="G393" s="216"/>
      <c r="H393" s="216"/>
      <c r="I393" s="177"/>
      <c r="J393" s="177"/>
      <c r="K393" s="177"/>
      <c r="L393" s="177"/>
      <c r="M393" s="209"/>
      <c r="N393" s="177"/>
      <c r="O393" s="177"/>
      <c r="P393" s="177"/>
      <c r="Q393" s="177"/>
      <c r="R393" s="209"/>
      <c r="S393" s="177"/>
      <c r="T393" s="177"/>
      <c r="U393" s="177"/>
      <c r="V393" s="177"/>
      <c r="W393" s="209"/>
    </row>
    <row r="394" spans="1:23" s="119" customFormat="1" ht="12" customHeight="1" x14ac:dyDescent="0.2">
      <c r="A394" s="151" t="s">
        <v>756</v>
      </c>
      <c r="B394" s="195" t="s">
        <v>759</v>
      </c>
      <c r="C394" s="180"/>
      <c r="D394" s="177"/>
      <c r="E394" s="214"/>
      <c r="F394" s="215"/>
      <c r="G394" s="216"/>
      <c r="H394" s="216"/>
      <c r="I394" s="177"/>
      <c r="J394" s="177"/>
      <c r="K394" s="177"/>
      <c r="L394" s="177"/>
      <c r="M394" s="209"/>
      <c r="N394" s="177"/>
      <c r="O394" s="177"/>
      <c r="P394" s="177"/>
      <c r="Q394" s="177"/>
      <c r="R394" s="209"/>
      <c r="S394" s="177"/>
      <c r="T394" s="177"/>
      <c r="U394" s="177"/>
      <c r="V394" s="177"/>
      <c r="W394" s="209"/>
    </row>
    <row r="395" spans="1:23" s="119" customFormat="1" ht="12" customHeight="1" x14ac:dyDescent="0.2">
      <c r="A395" s="151" t="s">
        <v>756</v>
      </c>
      <c r="B395" s="196" t="s">
        <v>760</v>
      </c>
      <c r="C395" s="180"/>
      <c r="D395" s="177"/>
      <c r="E395" s="214"/>
      <c r="F395" s="215"/>
      <c r="G395" s="216"/>
      <c r="H395" s="216"/>
      <c r="I395" s="177"/>
      <c r="J395" s="177"/>
      <c r="K395" s="177"/>
      <c r="L395" s="177"/>
      <c r="M395" s="209"/>
      <c r="N395" s="177"/>
      <c r="O395" s="177"/>
      <c r="P395" s="177"/>
      <c r="Q395" s="177"/>
      <c r="R395" s="209"/>
      <c r="S395" s="177"/>
      <c r="T395" s="177"/>
      <c r="U395" s="177"/>
      <c r="V395" s="177"/>
      <c r="W395" s="209"/>
    </row>
    <row r="396" spans="1:23" s="119" customFormat="1" ht="12" customHeight="1" x14ac:dyDescent="0.2">
      <c r="A396" s="151" t="s">
        <v>756</v>
      </c>
      <c r="B396" s="196" t="s">
        <v>761</v>
      </c>
      <c r="C396" s="180"/>
      <c r="D396" s="177"/>
      <c r="E396" s="214"/>
      <c r="F396" s="215"/>
      <c r="G396" s="216"/>
      <c r="H396" s="216"/>
      <c r="I396" s="177"/>
      <c r="J396" s="177"/>
      <c r="K396" s="177"/>
      <c r="L396" s="177"/>
      <c r="M396" s="209"/>
      <c r="N396" s="177"/>
      <c r="O396" s="177"/>
      <c r="P396" s="177"/>
      <c r="Q396" s="177"/>
      <c r="R396" s="209"/>
      <c r="S396" s="177"/>
      <c r="T396" s="177"/>
      <c r="U396" s="177"/>
      <c r="V396" s="177"/>
      <c r="W396" s="209"/>
    </row>
    <row r="397" spans="1:23" s="119" customFormat="1" ht="12" customHeight="1" x14ac:dyDescent="0.2">
      <c r="A397" s="151" t="s">
        <v>756</v>
      </c>
      <c r="B397" s="196" t="s">
        <v>762</v>
      </c>
      <c r="C397" s="180"/>
      <c r="D397" s="177"/>
      <c r="E397" s="214"/>
      <c r="F397" s="215"/>
      <c r="G397" s="216"/>
      <c r="H397" s="216"/>
      <c r="I397" s="177"/>
      <c r="J397" s="177"/>
      <c r="K397" s="177"/>
      <c r="L397" s="177"/>
      <c r="M397" s="209"/>
      <c r="N397" s="177"/>
      <c r="O397" s="177"/>
      <c r="P397" s="177"/>
      <c r="Q397" s="177"/>
      <c r="R397" s="209"/>
      <c r="S397" s="177"/>
      <c r="T397" s="177"/>
      <c r="U397" s="177"/>
      <c r="V397" s="177"/>
      <c r="W397" s="209"/>
    </row>
    <row r="398" spans="1:23" s="119" customFormat="1" ht="12" customHeight="1" x14ac:dyDescent="0.2">
      <c r="A398" s="151" t="s">
        <v>756</v>
      </c>
      <c r="B398" s="196" t="s">
        <v>763</v>
      </c>
      <c r="C398" s="180"/>
      <c r="D398" s="177"/>
      <c r="E398" s="214"/>
      <c r="F398" s="215">
        <v>2358</v>
      </c>
      <c r="G398" s="216">
        <v>5977</v>
      </c>
      <c r="H398" s="216">
        <f>SUM(F398:G398)</f>
        <v>8335</v>
      </c>
      <c r="I398" s="177"/>
      <c r="J398" s="177"/>
      <c r="K398" s="177"/>
      <c r="L398" s="177"/>
      <c r="M398" s="209"/>
      <c r="N398" s="177"/>
      <c r="O398" s="177"/>
      <c r="P398" s="177"/>
      <c r="Q398" s="177"/>
      <c r="R398" s="209"/>
      <c r="S398" s="177"/>
      <c r="T398" s="177"/>
      <c r="U398" s="177"/>
      <c r="V398" s="177"/>
      <c r="W398" s="209"/>
    </row>
    <row r="399" spans="1:23" s="119" customFormat="1" ht="12" customHeight="1" x14ac:dyDescent="0.2">
      <c r="A399" s="151" t="s">
        <v>756</v>
      </c>
      <c r="B399" s="196" t="s">
        <v>764</v>
      </c>
      <c r="C399" s="180"/>
      <c r="D399" s="177"/>
      <c r="E399" s="214"/>
      <c r="F399" s="215"/>
      <c r="G399" s="216"/>
      <c r="H399" s="216"/>
      <c r="I399" s="177"/>
      <c r="J399" s="177"/>
      <c r="K399" s="177"/>
      <c r="L399" s="177"/>
      <c r="M399" s="209"/>
      <c r="N399" s="177"/>
      <c r="O399" s="177"/>
      <c r="P399" s="177"/>
      <c r="Q399" s="177"/>
      <c r="R399" s="209"/>
      <c r="S399" s="177"/>
      <c r="T399" s="177"/>
      <c r="U399" s="177"/>
      <c r="V399" s="177"/>
      <c r="W399" s="209"/>
    </row>
    <row r="400" spans="1:23" s="119" customFormat="1" ht="20.25" customHeight="1" x14ac:dyDescent="0.2">
      <c r="A400" s="151" t="s">
        <v>756</v>
      </c>
      <c r="B400" s="196" t="s">
        <v>765</v>
      </c>
      <c r="C400" s="180"/>
      <c r="D400" s="177"/>
      <c r="E400" s="214"/>
      <c r="F400" s="215"/>
      <c r="G400" s="216"/>
      <c r="H400" s="216"/>
      <c r="I400" s="177"/>
      <c r="J400" s="177"/>
      <c r="K400" s="177"/>
      <c r="L400" s="177"/>
      <c r="M400" s="209"/>
      <c r="N400" s="177"/>
      <c r="O400" s="177"/>
      <c r="P400" s="177"/>
      <c r="Q400" s="177"/>
      <c r="R400" s="209"/>
      <c r="S400" s="177"/>
      <c r="T400" s="177"/>
      <c r="U400" s="177"/>
      <c r="V400" s="177"/>
      <c r="W400" s="209"/>
    </row>
    <row r="401" spans="1:23" s="119" customFormat="1" ht="12" customHeight="1" x14ac:dyDescent="0.2">
      <c r="A401" s="151" t="s">
        <v>756</v>
      </c>
      <c r="B401" s="196" t="s">
        <v>766</v>
      </c>
      <c r="C401" s="180"/>
      <c r="D401" s="177"/>
      <c r="E401" s="214"/>
      <c r="F401" s="215"/>
      <c r="G401" s="216"/>
      <c r="H401" s="216"/>
      <c r="I401" s="177"/>
      <c r="J401" s="177"/>
      <c r="K401" s="177"/>
      <c r="L401" s="177"/>
      <c r="M401" s="209"/>
      <c r="N401" s="177"/>
      <c r="O401" s="177"/>
      <c r="P401" s="177"/>
      <c r="Q401" s="177"/>
      <c r="R401" s="209"/>
      <c r="S401" s="177"/>
      <c r="T401" s="177"/>
      <c r="U401" s="177"/>
      <c r="V401" s="177"/>
      <c r="W401" s="209"/>
    </row>
    <row r="402" spans="1:23" s="119" customFormat="1" ht="12" customHeight="1" x14ac:dyDescent="0.2">
      <c r="A402" s="151" t="s">
        <v>756</v>
      </c>
      <c r="B402" s="196" t="s">
        <v>767</v>
      </c>
      <c r="C402" s="180"/>
      <c r="D402" s="177"/>
      <c r="E402" s="214"/>
      <c r="F402" s="215"/>
      <c r="G402" s="216"/>
      <c r="H402" s="216"/>
      <c r="I402" s="177"/>
      <c r="J402" s="177"/>
      <c r="K402" s="177"/>
      <c r="L402" s="177"/>
      <c r="M402" s="209"/>
      <c r="N402" s="177"/>
      <c r="O402" s="177"/>
      <c r="P402" s="177"/>
      <c r="Q402" s="177"/>
      <c r="R402" s="209"/>
      <c r="S402" s="177"/>
      <c r="T402" s="177"/>
      <c r="U402" s="177"/>
      <c r="V402" s="177"/>
      <c r="W402" s="209"/>
    </row>
    <row r="403" spans="1:23" s="119" customFormat="1" ht="12" customHeight="1" x14ac:dyDescent="0.2">
      <c r="A403" s="151" t="s">
        <v>756</v>
      </c>
      <c r="B403" s="196" t="s">
        <v>768</v>
      </c>
      <c r="C403" s="180"/>
      <c r="D403" s="177"/>
      <c r="E403" s="214"/>
      <c r="F403" s="215"/>
      <c r="G403" s="216"/>
      <c r="H403" s="216"/>
      <c r="I403" s="177"/>
      <c r="J403" s="177"/>
      <c r="K403" s="177"/>
      <c r="L403" s="177"/>
      <c r="M403" s="209"/>
      <c r="N403" s="177"/>
      <c r="O403" s="177"/>
      <c r="P403" s="177"/>
      <c r="Q403" s="177"/>
      <c r="R403" s="209"/>
      <c r="S403" s="177"/>
      <c r="T403" s="177"/>
      <c r="U403" s="177"/>
      <c r="V403" s="177"/>
      <c r="W403" s="209"/>
    </row>
    <row r="404" spans="1:23" s="119" customFormat="1" ht="19.5" customHeight="1" x14ac:dyDescent="0.2">
      <c r="A404" s="151" t="s">
        <v>746</v>
      </c>
      <c r="B404" s="196" t="s">
        <v>769</v>
      </c>
      <c r="C404" s="180"/>
      <c r="D404" s="177"/>
      <c r="E404" s="214"/>
      <c r="F404" s="217"/>
      <c r="G404" s="218"/>
      <c r="H404" s="218"/>
      <c r="I404" s="177"/>
      <c r="J404" s="177"/>
      <c r="K404" s="177"/>
      <c r="L404" s="177"/>
      <c r="M404" s="209">
        <f t="shared" si="32"/>
        <v>0</v>
      </c>
      <c r="N404" s="177"/>
      <c r="O404" s="177"/>
      <c r="P404" s="177"/>
      <c r="Q404" s="177"/>
      <c r="R404" s="209">
        <f t="shared" si="33"/>
        <v>0</v>
      </c>
      <c r="S404" s="177"/>
      <c r="T404" s="177"/>
      <c r="U404" s="177"/>
      <c r="V404" s="177"/>
      <c r="W404" s="209">
        <f t="shared" si="34"/>
        <v>0</v>
      </c>
    </row>
    <row r="405" spans="1:23" s="119" customFormat="1" ht="12" customHeight="1" x14ac:dyDescent="0.2">
      <c r="A405" s="151" t="s">
        <v>756</v>
      </c>
      <c r="B405" s="219" t="s">
        <v>770</v>
      </c>
      <c r="C405" s="217"/>
      <c r="D405" s="218"/>
      <c r="E405" s="218"/>
      <c r="F405" s="218"/>
      <c r="G405" s="218"/>
      <c r="H405" s="220">
        <f t="shared" si="35"/>
        <v>0</v>
      </c>
      <c r="I405" s="218"/>
      <c r="J405" s="177"/>
      <c r="K405" s="177"/>
      <c r="L405" s="177"/>
      <c r="M405" s="209">
        <f t="shared" si="32"/>
        <v>0</v>
      </c>
      <c r="N405" s="177"/>
      <c r="O405" s="177"/>
      <c r="P405" s="177"/>
      <c r="Q405" s="177"/>
      <c r="R405" s="209">
        <f t="shared" si="33"/>
        <v>0</v>
      </c>
      <c r="S405" s="177"/>
      <c r="T405" s="177"/>
      <c r="U405" s="177"/>
      <c r="V405" s="177"/>
      <c r="W405" s="209">
        <f t="shared" si="34"/>
        <v>0</v>
      </c>
    </row>
    <row r="406" spans="1:23" s="119" customFormat="1" ht="12" customHeight="1" x14ac:dyDescent="0.2">
      <c r="A406" s="151" t="s">
        <v>756</v>
      </c>
      <c r="B406" s="196" t="s">
        <v>771</v>
      </c>
      <c r="C406" s="180"/>
      <c r="D406" s="177"/>
      <c r="E406" s="177"/>
      <c r="F406" s="177"/>
      <c r="G406" s="177"/>
      <c r="H406" s="129">
        <f t="shared" si="35"/>
        <v>0</v>
      </c>
      <c r="I406" s="177"/>
      <c r="J406" s="177"/>
      <c r="K406" s="177"/>
      <c r="L406" s="177"/>
      <c r="M406" s="209">
        <f t="shared" si="32"/>
        <v>0</v>
      </c>
      <c r="N406" s="177"/>
      <c r="O406" s="177"/>
      <c r="P406" s="177"/>
      <c r="Q406" s="177"/>
      <c r="R406" s="209">
        <f t="shared" si="33"/>
        <v>0</v>
      </c>
      <c r="S406" s="177"/>
      <c r="T406" s="177"/>
      <c r="U406" s="177"/>
      <c r="V406" s="177"/>
      <c r="W406" s="209">
        <f t="shared" si="34"/>
        <v>0</v>
      </c>
    </row>
    <row r="407" spans="1:23" s="119" customFormat="1" ht="12" customHeight="1" x14ac:dyDescent="0.2">
      <c r="A407" s="177" t="s">
        <v>756</v>
      </c>
      <c r="B407" s="196" t="s">
        <v>772</v>
      </c>
      <c r="C407" s="180"/>
      <c r="D407" s="177"/>
      <c r="E407" s="177"/>
      <c r="F407" s="177"/>
      <c r="G407" s="177"/>
      <c r="H407" s="129">
        <f t="shared" si="35"/>
        <v>0</v>
      </c>
      <c r="I407" s="177"/>
      <c r="J407" s="177"/>
      <c r="K407" s="177"/>
      <c r="L407" s="177"/>
      <c r="M407" s="209">
        <f t="shared" si="32"/>
        <v>0</v>
      </c>
      <c r="N407" s="177"/>
      <c r="O407" s="177"/>
      <c r="P407" s="177"/>
      <c r="Q407" s="177"/>
      <c r="R407" s="209">
        <f t="shared" si="33"/>
        <v>0</v>
      </c>
      <c r="S407" s="177"/>
      <c r="T407" s="177"/>
      <c r="U407" s="177"/>
      <c r="V407" s="177"/>
      <c r="W407" s="209">
        <f t="shared" si="34"/>
        <v>0</v>
      </c>
    </row>
    <row r="408" spans="1:23" s="119" customFormat="1" ht="12" customHeight="1" x14ac:dyDescent="0.2">
      <c r="A408" s="177" t="s">
        <v>756</v>
      </c>
      <c r="B408" s="196" t="s">
        <v>773</v>
      </c>
      <c r="C408" s="180"/>
      <c r="D408" s="177"/>
      <c r="E408" s="177"/>
      <c r="F408" s="177"/>
      <c r="G408" s="177"/>
      <c r="H408" s="129">
        <f t="shared" si="35"/>
        <v>0</v>
      </c>
      <c r="I408" s="177"/>
      <c r="J408" s="177"/>
      <c r="K408" s="177"/>
      <c r="L408" s="177"/>
      <c r="M408" s="209">
        <f t="shared" si="32"/>
        <v>0</v>
      </c>
      <c r="N408" s="177"/>
      <c r="O408" s="177"/>
      <c r="P408" s="177"/>
      <c r="Q408" s="177"/>
      <c r="R408" s="209">
        <f t="shared" si="33"/>
        <v>0</v>
      </c>
      <c r="S408" s="177"/>
      <c r="T408" s="177"/>
      <c r="U408" s="177"/>
      <c r="V408" s="177"/>
      <c r="W408" s="209">
        <f t="shared" si="34"/>
        <v>0</v>
      </c>
    </row>
    <row r="409" spans="1:23" s="119" customFormat="1" ht="12" customHeight="1" x14ac:dyDescent="0.2">
      <c r="A409" s="151" t="s">
        <v>756</v>
      </c>
      <c r="B409" s="196" t="s">
        <v>774</v>
      </c>
      <c r="C409" s="180"/>
      <c r="D409" s="177"/>
      <c r="E409" s="177"/>
      <c r="F409" s="177"/>
      <c r="G409" s="177"/>
      <c r="H409" s="129">
        <f t="shared" si="35"/>
        <v>0</v>
      </c>
      <c r="I409" s="177"/>
      <c r="J409" s="177"/>
      <c r="K409" s="177"/>
      <c r="L409" s="177"/>
      <c r="M409" s="209">
        <f t="shared" si="32"/>
        <v>0</v>
      </c>
      <c r="N409" s="177"/>
      <c r="O409" s="177"/>
      <c r="P409" s="177"/>
      <c r="Q409" s="177"/>
      <c r="R409" s="209">
        <f t="shared" si="33"/>
        <v>0</v>
      </c>
      <c r="S409" s="177"/>
      <c r="T409" s="177"/>
      <c r="U409" s="177"/>
      <c r="V409" s="177"/>
      <c r="W409" s="209">
        <f t="shared" si="34"/>
        <v>0</v>
      </c>
    </row>
    <row r="410" spans="1:23" s="119" customFormat="1" ht="12" customHeight="1" x14ac:dyDescent="0.2">
      <c r="A410" s="151" t="s">
        <v>756</v>
      </c>
      <c r="B410" s="196" t="s">
        <v>775</v>
      </c>
      <c r="C410" s="180"/>
      <c r="D410" s="177"/>
      <c r="E410" s="177"/>
      <c r="F410" s="177"/>
      <c r="G410" s="177"/>
      <c r="H410" s="129">
        <f t="shared" si="35"/>
        <v>0</v>
      </c>
      <c r="I410" s="177"/>
      <c r="J410" s="177"/>
      <c r="K410" s="177"/>
      <c r="L410" s="177"/>
      <c r="M410" s="209">
        <f t="shared" si="32"/>
        <v>0</v>
      </c>
      <c r="N410" s="177"/>
      <c r="O410" s="177"/>
      <c r="P410" s="177"/>
      <c r="Q410" s="177"/>
      <c r="R410" s="209">
        <f t="shared" si="33"/>
        <v>0</v>
      </c>
      <c r="S410" s="177"/>
      <c r="T410" s="177"/>
      <c r="U410" s="177"/>
      <c r="V410" s="177"/>
      <c r="W410" s="209">
        <f t="shared" si="34"/>
        <v>0</v>
      </c>
    </row>
    <row r="411" spans="1:23" s="119" customFormat="1" ht="12" customHeight="1" x14ac:dyDescent="0.2">
      <c r="A411" s="151" t="s">
        <v>756</v>
      </c>
      <c r="B411" s="196" t="s">
        <v>776</v>
      </c>
      <c r="C411" s="180"/>
      <c r="D411" s="177"/>
      <c r="E411" s="177"/>
      <c r="F411" s="177"/>
      <c r="G411" s="177"/>
      <c r="H411" s="129">
        <f t="shared" si="35"/>
        <v>0</v>
      </c>
      <c r="I411" s="177"/>
      <c r="J411" s="177"/>
      <c r="K411" s="177"/>
      <c r="L411" s="177"/>
      <c r="M411" s="209">
        <f t="shared" si="32"/>
        <v>0</v>
      </c>
      <c r="N411" s="177"/>
      <c r="O411" s="177"/>
      <c r="P411" s="177"/>
      <c r="Q411" s="177"/>
      <c r="R411" s="209">
        <f t="shared" si="33"/>
        <v>0</v>
      </c>
      <c r="S411" s="177"/>
      <c r="T411" s="177"/>
      <c r="U411" s="177"/>
      <c r="V411" s="177"/>
      <c r="W411" s="209">
        <f t="shared" si="34"/>
        <v>0</v>
      </c>
    </row>
    <row r="412" spans="1:23" s="119" customFormat="1" ht="12" customHeight="1" x14ac:dyDescent="0.2">
      <c r="A412" s="151" t="s">
        <v>756</v>
      </c>
      <c r="B412" s="196" t="s">
        <v>777</v>
      </c>
      <c r="C412" s="180" t="s">
        <v>778</v>
      </c>
      <c r="D412" s="177"/>
      <c r="E412" s="177"/>
      <c r="F412" s="177"/>
      <c r="G412" s="177"/>
      <c r="H412" s="129">
        <f t="shared" si="35"/>
        <v>0</v>
      </c>
      <c r="I412" s="177"/>
      <c r="J412" s="177"/>
      <c r="K412" s="177"/>
      <c r="L412" s="177"/>
      <c r="M412" s="209">
        <f t="shared" si="32"/>
        <v>0</v>
      </c>
      <c r="N412" s="177"/>
      <c r="O412" s="177"/>
      <c r="P412" s="177"/>
      <c r="Q412" s="177"/>
      <c r="R412" s="209">
        <f t="shared" si="33"/>
        <v>0</v>
      </c>
      <c r="S412" s="177"/>
      <c r="T412" s="177"/>
      <c r="U412" s="177"/>
      <c r="V412" s="177"/>
      <c r="W412" s="209">
        <f t="shared" si="34"/>
        <v>0</v>
      </c>
    </row>
    <row r="413" spans="1:23" s="119" customFormat="1" ht="12" customHeight="1" x14ac:dyDescent="0.2">
      <c r="A413" s="151" t="s">
        <v>756</v>
      </c>
      <c r="B413" s="196" t="s">
        <v>779</v>
      </c>
      <c r="C413" s="180"/>
      <c r="D413" s="177"/>
      <c r="E413" s="177"/>
      <c r="F413" s="177"/>
      <c r="G413" s="177"/>
      <c r="H413" s="129">
        <f t="shared" si="35"/>
        <v>0</v>
      </c>
      <c r="I413" s="177"/>
      <c r="J413" s="177"/>
      <c r="K413" s="177"/>
      <c r="L413" s="177"/>
      <c r="M413" s="209">
        <f t="shared" si="32"/>
        <v>0</v>
      </c>
      <c r="N413" s="177"/>
      <c r="O413" s="177"/>
      <c r="P413" s="177"/>
      <c r="Q413" s="177"/>
      <c r="R413" s="209">
        <f t="shared" si="33"/>
        <v>0</v>
      </c>
      <c r="S413" s="177"/>
      <c r="T413" s="177"/>
      <c r="U413" s="177"/>
      <c r="V413" s="177"/>
      <c r="W413" s="209">
        <f t="shared" si="34"/>
        <v>0</v>
      </c>
    </row>
    <row r="414" spans="1:23" s="119" customFormat="1" ht="12" customHeight="1" x14ac:dyDescent="0.2">
      <c r="A414" s="151" t="s">
        <v>756</v>
      </c>
      <c r="B414" s="196" t="s">
        <v>780</v>
      </c>
      <c r="C414" s="180"/>
      <c r="D414" s="177"/>
      <c r="E414" s="177"/>
      <c r="F414" s="177"/>
      <c r="G414" s="177"/>
      <c r="H414" s="129">
        <f t="shared" si="35"/>
        <v>0</v>
      </c>
      <c r="I414" s="177"/>
      <c r="J414" s="177"/>
      <c r="K414" s="177"/>
      <c r="L414" s="177"/>
      <c r="M414" s="209">
        <f t="shared" si="32"/>
        <v>0</v>
      </c>
      <c r="N414" s="177"/>
      <c r="O414" s="177"/>
      <c r="P414" s="177"/>
      <c r="Q414" s="177"/>
      <c r="R414" s="209">
        <f t="shared" si="33"/>
        <v>0</v>
      </c>
      <c r="S414" s="177"/>
      <c r="T414" s="177"/>
      <c r="U414" s="177"/>
      <c r="V414" s="177"/>
      <c r="W414" s="209">
        <f t="shared" si="34"/>
        <v>0</v>
      </c>
    </row>
    <row r="415" spans="1:23" s="119" customFormat="1" ht="12" customHeight="1" x14ac:dyDescent="0.2">
      <c r="A415" s="151" t="s">
        <v>756</v>
      </c>
      <c r="B415" s="196" t="s">
        <v>781</v>
      </c>
      <c r="C415" s="180"/>
      <c r="D415" s="177"/>
      <c r="E415" s="177"/>
      <c r="F415" s="177"/>
      <c r="G415" s="177"/>
      <c r="H415" s="129">
        <f t="shared" si="35"/>
        <v>0</v>
      </c>
      <c r="I415" s="177"/>
      <c r="J415" s="177"/>
      <c r="K415" s="177"/>
      <c r="L415" s="177"/>
      <c r="M415" s="209">
        <f t="shared" si="32"/>
        <v>0</v>
      </c>
      <c r="N415" s="177"/>
      <c r="O415" s="177"/>
      <c r="P415" s="177"/>
      <c r="Q415" s="177"/>
      <c r="R415" s="209">
        <f t="shared" si="33"/>
        <v>0</v>
      </c>
      <c r="S415" s="177"/>
      <c r="T415" s="177"/>
      <c r="U415" s="177"/>
      <c r="V415" s="177"/>
      <c r="W415" s="209">
        <f t="shared" si="34"/>
        <v>0</v>
      </c>
    </row>
    <row r="416" spans="1:23" s="119" customFormat="1" ht="12" customHeight="1" x14ac:dyDescent="0.2">
      <c r="A416" s="151" t="s">
        <v>756</v>
      </c>
      <c r="B416" s="196" t="s">
        <v>782</v>
      </c>
      <c r="C416" s="180"/>
      <c r="D416" s="177"/>
      <c r="E416" s="177"/>
      <c r="F416" s="177"/>
      <c r="G416" s="177"/>
      <c r="H416" s="129">
        <f t="shared" si="35"/>
        <v>0</v>
      </c>
      <c r="I416" s="177"/>
      <c r="J416" s="177"/>
      <c r="K416" s="177"/>
      <c r="L416" s="177"/>
      <c r="M416" s="209">
        <f t="shared" si="32"/>
        <v>0</v>
      </c>
      <c r="N416" s="177"/>
      <c r="O416" s="177"/>
      <c r="P416" s="177"/>
      <c r="Q416" s="177"/>
      <c r="R416" s="209">
        <f t="shared" si="33"/>
        <v>0</v>
      </c>
      <c r="S416" s="177"/>
      <c r="T416" s="177"/>
      <c r="U416" s="177"/>
      <c r="V416" s="177"/>
      <c r="W416" s="209">
        <f t="shared" si="34"/>
        <v>0</v>
      </c>
    </row>
    <row r="417" spans="1:24" s="119" customFormat="1" ht="12" customHeight="1" x14ac:dyDescent="0.2">
      <c r="A417" s="151" t="s">
        <v>783</v>
      </c>
      <c r="B417" s="196" t="s">
        <v>784</v>
      </c>
      <c r="C417" s="180">
        <v>2900</v>
      </c>
      <c r="D417" s="177"/>
      <c r="E417" s="177"/>
      <c r="F417" s="177"/>
      <c r="G417" s="177"/>
      <c r="H417" s="129">
        <f t="shared" si="35"/>
        <v>0</v>
      </c>
      <c r="I417" s="177"/>
      <c r="J417" s="177"/>
      <c r="K417" s="177"/>
      <c r="L417" s="177"/>
      <c r="M417" s="209">
        <f t="shared" si="32"/>
        <v>0</v>
      </c>
      <c r="N417" s="177"/>
      <c r="O417" s="177"/>
      <c r="P417" s="177"/>
      <c r="Q417" s="177"/>
      <c r="R417" s="209">
        <f t="shared" si="33"/>
        <v>0</v>
      </c>
      <c r="S417" s="177"/>
      <c r="T417" s="177"/>
      <c r="U417" s="177"/>
      <c r="V417" s="177"/>
      <c r="W417" s="209">
        <f t="shared" si="34"/>
        <v>0</v>
      </c>
    </row>
    <row r="418" spans="1:24" s="119" customFormat="1" ht="12" customHeight="1" x14ac:dyDescent="0.2">
      <c r="A418" s="151" t="s">
        <v>783</v>
      </c>
      <c r="B418" s="196" t="s">
        <v>785</v>
      </c>
      <c r="C418" s="180"/>
      <c r="D418" s="177"/>
      <c r="E418" s="177"/>
      <c r="F418" s="177"/>
      <c r="G418" s="177"/>
      <c r="H418" s="129">
        <f t="shared" si="35"/>
        <v>0</v>
      </c>
      <c r="I418" s="177"/>
      <c r="J418" s="177"/>
      <c r="K418" s="177"/>
      <c r="L418" s="177"/>
      <c r="M418" s="209">
        <f t="shared" si="32"/>
        <v>0</v>
      </c>
      <c r="N418" s="177"/>
      <c r="O418" s="177"/>
      <c r="P418" s="177">
        <v>5000</v>
      </c>
      <c r="Q418" s="177"/>
      <c r="R418" s="209">
        <f t="shared" si="33"/>
        <v>5000</v>
      </c>
      <c r="S418" s="177"/>
      <c r="T418" s="177"/>
      <c r="U418" s="177"/>
      <c r="V418" s="177"/>
      <c r="W418" s="209">
        <f t="shared" si="34"/>
        <v>0</v>
      </c>
    </row>
    <row r="419" spans="1:24" s="119" customFormat="1" ht="12" customHeight="1" x14ac:dyDescent="0.2">
      <c r="A419" s="151" t="s">
        <v>783</v>
      </c>
      <c r="B419" s="196" t="s">
        <v>786</v>
      </c>
      <c r="C419" s="180"/>
      <c r="D419" s="177"/>
      <c r="E419" s="177"/>
      <c r="F419" s="177"/>
      <c r="G419" s="177"/>
      <c r="H419" s="129">
        <f t="shared" si="35"/>
        <v>0</v>
      </c>
      <c r="I419" s="177"/>
      <c r="J419" s="177"/>
      <c r="K419" s="177"/>
      <c r="L419" s="177"/>
      <c r="M419" s="209">
        <f t="shared" si="32"/>
        <v>0</v>
      </c>
      <c r="N419" s="177"/>
      <c r="O419" s="177"/>
      <c r="P419" s="177"/>
      <c r="Q419" s="177"/>
      <c r="R419" s="209">
        <f t="shared" si="33"/>
        <v>0</v>
      </c>
      <c r="S419" s="177"/>
      <c r="T419" s="177"/>
      <c r="U419" s="177"/>
      <c r="V419" s="177"/>
      <c r="W419" s="209">
        <f t="shared" si="34"/>
        <v>0</v>
      </c>
    </row>
    <row r="420" spans="1:24" s="119" customFormat="1" ht="12" customHeight="1" x14ac:dyDescent="0.2">
      <c r="A420" s="151" t="s">
        <v>787</v>
      </c>
      <c r="B420" s="196" t="s">
        <v>788</v>
      </c>
      <c r="C420" s="180">
        <v>15190</v>
      </c>
      <c r="D420" s="177"/>
      <c r="E420" s="177"/>
      <c r="F420" s="177"/>
      <c r="G420" s="177"/>
      <c r="H420" s="129">
        <f t="shared" si="35"/>
        <v>0</v>
      </c>
      <c r="I420" s="177"/>
      <c r="J420" s="177"/>
      <c r="K420" s="177"/>
      <c r="L420" s="177"/>
      <c r="M420" s="209">
        <f t="shared" si="32"/>
        <v>0</v>
      </c>
      <c r="N420" s="177"/>
      <c r="O420" s="177"/>
      <c r="P420" s="177"/>
      <c r="Q420" s="177"/>
      <c r="R420" s="209">
        <f t="shared" si="33"/>
        <v>0</v>
      </c>
      <c r="S420" s="177"/>
      <c r="T420" s="177"/>
      <c r="U420" s="177"/>
      <c r="V420" s="177"/>
      <c r="W420" s="209">
        <f t="shared" si="34"/>
        <v>0</v>
      </c>
    </row>
    <row r="421" spans="1:24" s="119" customFormat="1" ht="26.45" customHeight="1" x14ac:dyDescent="0.2">
      <c r="A421" s="151" t="s">
        <v>789</v>
      </c>
      <c r="B421" s="196" t="s">
        <v>784</v>
      </c>
      <c r="C421" s="180">
        <v>4500</v>
      </c>
      <c r="D421" s="177"/>
      <c r="E421" s="177"/>
      <c r="F421" s="177"/>
      <c r="G421" s="177"/>
      <c r="H421" s="129">
        <f t="shared" si="35"/>
        <v>0</v>
      </c>
      <c r="I421" s="177"/>
      <c r="J421" s="177"/>
      <c r="K421" s="177"/>
      <c r="L421" s="177"/>
      <c r="M421" s="209">
        <f t="shared" si="32"/>
        <v>0</v>
      </c>
      <c r="N421" s="177"/>
      <c r="O421" s="177"/>
      <c r="P421" s="177"/>
      <c r="Q421" s="177"/>
      <c r="R421" s="209">
        <f t="shared" si="33"/>
        <v>0</v>
      </c>
      <c r="S421" s="177"/>
      <c r="T421" s="177"/>
      <c r="U421" s="177"/>
      <c r="V421" s="177"/>
      <c r="W421" s="209">
        <f t="shared" si="34"/>
        <v>0</v>
      </c>
    </row>
    <row r="422" spans="1:24" s="119" customFormat="1" ht="26.45" customHeight="1" x14ac:dyDescent="0.2">
      <c r="A422" s="151" t="s">
        <v>789</v>
      </c>
      <c r="B422" s="196" t="s">
        <v>785</v>
      </c>
      <c r="C422" s="180"/>
      <c r="D422" s="177"/>
      <c r="E422" s="177"/>
      <c r="F422" s="177"/>
      <c r="G422" s="177"/>
      <c r="H422" s="129">
        <f t="shared" si="35"/>
        <v>0</v>
      </c>
      <c r="I422" s="177">
        <v>2000</v>
      </c>
      <c r="J422" s="177"/>
      <c r="K422" s="177"/>
      <c r="L422" s="177"/>
      <c r="M422" s="209">
        <f t="shared" si="32"/>
        <v>2000</v>
      </c>
      <c r="N422" s="177"/>
      <c r="O422" s="177"/>
      <c r="P422" s="177"/>
      <c r="Q422" s="177"/>
      <c r="R422" s="209">
        <f t="shared" si="33"/>
        <v>0</v>
      </c>
      <c r="S422" s="177"/>
      <c r="T422" s="177"/>
      <c r="U422" s="177"/>
      <c r="V422" s="177"/>
      <c r="W422" s="209">
        <f t="shared" si="34"/>
        <v>0</v>
      </c>
    </row>
    <row r="423" spans="1:24" s="119" customFormat="1" ht="26.45" customHeight="1" x14ac:dyDescent="0.2">
      <c r="A423" s="151" t="s">
        <v>789</v>
      </c>
      <c r="B423" s="196" t="s">
        <v>786</v>
      </c>
      <c r="C423" s="180"/>
      <c r="D423" s="177"/>
      <c r="E423" s="177"/>
      <c r="F423" s="177"/>
      <c r="G423" s="177"/>
      <c r="H423" s="129">
        <f t="shared" si="35"/>
        <v>0</v>
      </c>
      <c r="I423" s="177">
        <v>2000</v>
      </c>
      <c r="J423" s="177"/>
      <c r="K423" s="177"/>
      <c r="L423" s="177"/>
      <c r="M423" s="209">
        <f t="shared" si="32"/>
        <v>2000</v>
      </c>
      <c r="N423" s="177"/>
      <c r="O423" s="177"/>
      <c r="P423" s="177"/>
      <c r="Q423" s="177"/>
      <c r="R423" s="209">
        <f t="shared" si="33"/>
        <v>0</v>
      </c>
      <c r="S423" s="177"/>
      <c r="T423" s="177"/>
      <c r="U423" s="177"/>
      <c r="V423" s="177"/>
      <c r="W423" s="209">
        <f t="shared" si="34"/>
        <v>0</v>
      </c>
    </row>
    <row r="424" spans="1:24" s="119" customFormat="1" ht="26.45" customHeight="1" x14ac:dyDescent="0.2">
      <c r="A424" s="151" t="s">
        <v>789</v>
      </c>
      <c r="B424" s="196" t="s">
        <v>790</v>
      </c>
      <c r="C424" s="180"/>
      <c r="D424" s="177"/>
      <c r="E424" s="177"/>
      <c r="F424" s="177"/>
      <c r="G424" s="177"/>
      <c r="H424" s="129">
        <f t="shared" si="35"/>
        <v>0</v>
      </c>
      <c r="I424" s="177">
        <v>2000</v>
      </c>
      <c r="J424" s="177"/>
      <c r="K424" s="177"/>
      <c r="L424" s="177"/>
      <c r="M424" s="209">
        <f t="shared" si="32"/>
        <v>2000</v>
      </c>
      <c r="N424" s="177"/>
      <c r="O424" s="177"/>
      <c r="P424" s="177"/>
      <c r="Q424" s="177"/>
      <c r="R424" s="209">
        <f t="shared" si="33"/>
        <v>0</v>
      </c>
      <c r="S424" s="177"/>
      <c r="T424" s="177"/>
      <c r="U424" s="177"/>
      <c r="V424" s="177"/>
      <c r="W424" s="209">
        <f t="shared" si="34"/>
        <v>0</v>
      </c>
    </row>
    <row r="425" spans="1:24" s="119" customFormat="1" ht="26.45" customHeight="1" x14ac:dyDescent="0.2">
      <c r="A425" s="151" t="s">
        <v>789</v>
      </c>
      <c r="B425" s="196" t="s">
        <v>791</v>
      </c>
      <c r="C425" s="180"/>
      <c r="D425" s="177"/>
      <c r="E425" s="177"/>
      <c r="F425" s="177"/>
      <c r="G425" s="177"/>
      <c r="H425" s="129">
        <f t="shared" si="35"/>
        <v>0</v>
      </c>
      <c r="I425" s="177">
        <v>2000</v>
      </c>
      <c r="J425" s="177"/>
      <c r="K425" s="177"/>
      <c r="L425" s="177"/>
      <c r="M425" s="209">
        <f t="shared" si="32"/>
        <v>2000</v>
      </c>
      <c r="N425" s="177"/>
      <c r="O425" s="177"/>
      <c r="P425" s="177"/>
      <c r="Q425" s="177"/>
      <c r="R425" s="209">
        <f t="shared" si="33"/>
        <v>0</v>
      </c>
      <c r="S425" s="177"/>
      <c r="T425" s="177"/>
      <c r="U425" s="177"/>
      <c r="V425" s="177"/>
      <c r="W425" s="209">
        <f t="shared" si="34"/>
        <v>0</v>
      </c>
    </row>
    <row r="426" spans="1:24" s="119" customFormat="1" ht="26.45" customHeight="1" x14ac:dyDescent="0.2">
      <c r="A426" s="151" t="s">
        <v>789</v>
      </c>
      <c r="B426" s="196" t="s">
        <v>792</v>
      </c>
      <c r="C426" s="180"/>
      <c r="D426" s="177"/>
      <c r="E426" s="177"/>
      <c r="F426" s="177"/>
      <c r="G426" s="177"/>
      <c r="H426" s="129">
        <f t="shared" si="35"/>
        <v>0</v>
      </c>
      <c r="I426" s="177">
        <v>2000</v>
      </c>
      <c r="J426" s="177"/>
      <c r="K426" s="177"/>
      <c r="L426" s="177"/>
      <c r="M426" s="209">
        <f t="shared" si="32"/>
        <v>2000</v>
      </c>
      <c r="N426" s="177"/>
      <c r="O426" s="177"/>
      <c r="P426" s="177"/>
      <c r="Q426" s="177"/>
      <c r="R426" s="209">
        <f t="shared" si="33"/>
        <v>0</v>
      </c>
      <c r="S426" s="177"/>
      <c r="T426" s="177"/>
      <c r="U426" s="177"/>
      <c r="V426" s="177"/>
      <c r="W426" s="209">
        <f t="shared" si="34"/>
        <v>0</v>
      </c>
    </row>
    <row r="427" spans="1:24" s="119" customFormat="1" ht="26.45" customHeight="1" x14ac:dyDescent="0.2">
      <c r="A427" s="151" t="s">
        <v>789</v>
      </c>
      <c r="B427" s="196" t="s">
        <v>793</v>
      </c>
      <c r="C427" s="180"/>
      <c r="D427" s="177"/>
      <c r="E427" s="177"/>
      <c r="F427" s="177"/>
      <c r="G427" s="177"/>
      <c r="H427" s="129">
        <f t="shared" si="35"/>
        <v>0</v>
      </c>
      <c r="I427" s="177">
        <v>2000</v>
      </c>
      <c r="J427" s="177"/>
      <c r="K427" s="177"/>
      <c r="L427" s="177"/>
      <c r="M427" s="209">
        <f t="shared" si="32"/>
        <v>2000</v>
      </c>
      <c r="N427" s="177"/>
      <c r="O427" s="177"/>
      <c r="P427" s="177"/>
      <c r="Q427" s="177"/>
      <c r="R427" s="209">
        <f t="shared" si="33"/>
        <v>0</v>
      </c>
      <c r="S427" s="177"/>
      <c r="T427" s="177"/>
      <c r="U427" s="177"/>
      <c r="V427" s="177"/>
      <c r="W427" s="209">
        <f t="shared" si="34"/>
        <v>0</v>
      </c>
    </row>
    <row r="428" spans="1:24" s="119" customFormat="1" ht="26.45" customHeight="1" x14ac:dyDescent="0.2">
      <c r="A428" s="151" t="s">
        <v>789</v>
      </c>
      <c r="B428" s="196" t="s">
        <v>794</v>
      </c>
      <c r="C428" s="180"/>
      <c r="D428" s="177"/>
      <c r="E428" s="177"/>
      <c r="F428" s="177"/>
      <c r="G428" s="177"/>
      <c r="H428" s="129">
        <f t="shared" si="35"/>
        <v>0</v>
      </c>
      <c r="I428" s="177">
        <v>2000</v>
      </c>
      <c r="J428" s="177"/>
      <c r="K428" s="177"/>
      <c r="L428" s="177"/>
      <c r="M428" s="209">
        <f t="shared" si="32"/>
        <v>2000</v>
      </c>
      <c r="N428" s="177"/>
      <c r="O428" s="177"/>
      <c r="P428" s="177"/>
      <c r="Q428" s="177"/>
      <c r="R428" s="209">
        <f t="shared" si="33"/>
        <v>0</v>
      </c>
      <c r="S428" s="177"/>
      <c r="T428" s="177"/>
      <c r="U428" s="177"/>
      <c r="V428" s="177"/>
      <c r="W428" s="209">
        <f t="shared" si="34"/>
        <v>0</v>
      </c>
    </row>
    <row r="429" spans="1:24" s="119" customFormat="1" ht="26.45" customHeight="1" x14ac:dyDescent="0.2">
      <c r="A429" s="151" t="s">
        <v>789</v>
      </c>
      <c r="B429" s="196" t="s">
        <v>795</v>
      </c>
      <c r="C429" s="180"/>
      <c r="D429" s="177"/>
      <c r="E429" s="177"/>
      <c r="F429" s="177"/>
      <c r="G429" s="177"/>
      <c r="H429" s="129">
        <f t="shared" si="35"/>
        <v>0</v>
      </c>
      <c r="I429" s="177">
        <v>2000</v>
      </c>
      <c r="J429" s="177"/>
      <c r="K429" s="177"/>
      <c r="L429" s="177"/>
      <c r="M429" s="209">
        <f t="shared" si="32"/>
        <v>2000</v>
      </c>
      <c r="N429" s="177"/>
      <c r="O429" s="177"/>
      <c r="P429" s="177"/>
      <c r="Q429" s="177"/>
      <c r="R429" s="209">
        <f t="shared" si="33"/>
        <v>0</v>
      </c>
      <c r="S429" s="177"/>
      <c r="T429" s="177"/>
      <c r="U429" s="177"/>
      <c r="V429" s="177"/>
      <c r="W429" s="209">
        <f t="shared" si="34"/>
        <v>0</v>
      </c>
    </row>
    <row r="430" spans="1:24" s="119" customFormat="1" ht="26.45" customHeight="1" x14ac:dyDescent="0.2">
      <c r="A430" s="151" t="s">
        <v>789</v>
      </c>
      <c r="B430" s="196" t="s">
        <v>796</v>
      </c>
      <c r="C430" s="180"/>
      <c r="D430" s="177"/>
      <c r="E430" s="177"/>
      <c r="F430" s="177"/>
      <c r="G430" s="177"/>
      <c r="H430" s="129">
        <f t="shared" si="35"/>
        <v>0</v>
      </c>
      <c r="I430" s="177">
        <v>2000</v>
      </c>
      <c r="J430" s="177"/>
      <c r="K430" s="177"/>
      <c r="L430" s="177"/>
      <c r="M430" s="209">
        <f t="shared" si="32"/>
        <v>2000</v>
      </c>
      <c r="N430" s="177"/>
      <c r="O430" s="177"/>
      <c r="P430" s="177"/>
      <c r="Q430" s="177"/>
      <c r="R430" s="209">
        <f t="shared" si="33"/>
        <v>0</v>
      </c>
      <c r="S430" s="177"/>
      <c r="T430" s="177"/>
      <c r="U430" s="177"/>
      <c r="V430" s="177"/>
      <c r="W430" s="209">
        <f t="shared" si="34"/>
        <v>0</v>
      </c>
    </row>
    <row r="431" spans="1:24" s="119" customFormat="1" ht="12.75" x14ac:dyDescent="0.2">
      <c r="A431" s="151"/>
      <c r="B431" s="196"/>
      <c r="C431" s="180"/>
      <c r="D431" s="177"/>
      <c r="E431" s="177"/>
      <c r="F431" s="177"/>
      <c r="G431" s="177"/>
      <c r="H431" s="129">
        <f t="shared" si="35"/>
        <v>0</v>
      </c>
      <c r="I431" s="177"/>
      <c r="J431" s="177"/>
      <c r="K431" s="177"/>
      <c r="L431" s="177"/>
      <c r="M431" s="129"/>
      <c r="N431" s="177"/>
      <c r="O431" s="177"/>
      <c r="P431" s="177"/>
      <c r="Q431" s="177"/>
      <c r="R431" s="129"/>
      <c r="S431" s="177"/>
      <c r="T431" s="177"/>
      <c r="U431" s="177"/>
      <c r="V431" s="177"/>
      <c r="W431" s="129"/>
    </row>
    <row r="432" spans="1:24" s="187" customFormat="1" ht="74.25" customHeight="1" x14ac:dyDescent="0.2">
      <c r="A432" s="183" t="s">
        <v>797</v>
      </c>
      <c r="B432" s="184"/>
      <c r="C432" s="185">
        <v>493</v>
      </c>
      <c r="D432" s="185">
        <v>1900</v>
      </c>
      <c r="E432" s="185">
        <v>2000</v>
      </c>
      <c r="F432" s="185">
        <v>2100</v>
      </c>
      <c r="G432" s="185">
        <v>2200</v>
      </c>
      <c r="H432" s="184">
        <f>SUM(D432:G432)</f>
        <v>8200</v>
      </c>
      <c r="I432" s="185">
        <v>2500</v>
      </c>
      <c r="J432" s="185">
        <v>2700</v>
      </c>
      <c r="K432" s="185">
        <v>2800</v>
      </c>
      <c r="L432" s="185">
        <v>3000</v>
      </c>
      <c r="M432" s="184">
        <f>SUM(I432:L432)</f>
        <v>11000</v>
      </c>
      <c r="N432" s="185">
        <v>2500</v>
      </c>
      <c r="O432" s="185">
        <v>2700</v>
      </c>
      <c r="P432" s="185">
        <v>2800</v>
      </c>
      <c r="Q432" s="185">
        <v>3000</v>
      </c>
      <c r="R432" s="184">
        <f>SUM(N432:Q432)</f>
        <v>11000</v>
      </c>
      <c r="S432" s="185">
        <v>2500</v>
      </c>
      <c r="T432" s="185">
        <v>2700</v>
      </c>
      <c r="U432" s="185">
        <v>2800</v>
      </c>
      <c r="V432" s="185">
        <v>3000</v>
      </c>
      <c r="W432" s="184">
        <f>SUM(S432:V432)</f>
        <v>11000</v>
      </c>
      <c r="X432" s="186">
        <v>42978</v>
      </c>
    </row>
    <row r="433" spans="1:25" s="119" customFormat="1" ht="12.75" x14ac:dyDescent="0.2">
      <c r="A433" s="151"/>
      <c r="B433" s="195"/>
      <c r="C433" s="177"/>
      <c r="D433" s="177"/>
      <c r="E433" s="177"/>
      <c r="F433" s="177"/>
      <c r="G433" s="177"/>
      <c r="H433" s="129"/>
      <c r="I433" s="177"/>
      <c r="J433" s="177"/>
      <c r="K433" s="177"/>
      <c r="L433" s="177"/>
      <c r="M433" s="129"/>
      <c r="N433" s="177"/>
      <c r="O433" s="177"/>
      <c r="P433" s="177"/>
      <c r="Q433" s="177"/>
      <c r="R433" s="129"/>
      <c r="S433" s="177"/>
      <c r="T433" s="177"/>
      <c r="U433" s="177"/>
      <c r="V433" s="177"/>
      <c r="W433" s="129"/>
    </row>
    <row r="434" spans="1:25" s="119" customFormat="1" ht="12.75" x14ac:dyDescent="0.2">
      <c r="A434" s="151"/>
      <c r="B434" s="195"/>
      <c r="C434" s="177"/>
      <c r="D434" s="177"/>
      <c r="E434" s="177"/>
      <c r="F434" s="177"/>
      <c r="G434" s="177"/>
      <c r="H434" s="129"/>
      <c r="I434" s="177"/>
      <c r="J434" s="177"/>
      <c r="K434" s="177"/>
      <c r="L434" s="177"/>
      <c r="M434" s="129"/>
      <c r="N434" s="177"/>
      <c r="O434" s="177"/>
      <c r="P434" s="177"/>
      <c r="Q434" s="177"/>
      <c r="R434" s="129"/>
      <c r="S434" s="177"/>
      <c r="T434" s="177"/>
      <c r="U434" s="177"/>
      <c r="V434" s="177"/>
      <c r="W434" s="129"/>
    </row>
    <row r="435" spans="1:25" s="119" customFormat="1" ht="26.45" customHeight="1" x14ac:dyDescent="0.2">
      <c r="A435" s="299" t="s">
        <v>798</v>
      </c>
      <c r="B435" s="117"/>
      <c r="C435" s="117"/>
      <c r="D435" s="117">
        <f>+D436+D509+D582+D686+D693+D740+D758+D764+D814+D821+D857+D893+D930</f>
        <v>443946.66185199982</v>
      </c>
      <c r="E435" s="117">
        <f>+E436+E509+E582+E686+E693+E740+E758+E764+E814+E821+E857+E893+E930</f>
        <v>445079.72534499993</v>
      </c>
      <c r="F435" s="117">
        <f>+F436+F509+F582+F686+F693+F740+F758+F764+F814+F821+F857+F893+F930</f>
        <v>483955.49599500006</v>
      </c>
      <c r="G435" s="117">
        <f>+G436+G509+G582+G686+G693+G740+G758+G764+G814+G821+G857+G893+G930</f>
        <v>452631.5420094002</v>
      </c>
      <c r="H435" s="117">
        <f>SUM(D435:G435)</f>
        <v>1825613.4252014</v>
      </c>
      <c r="I435" s="117">
        <f>+I436+I509+I582+I686+I693+I740+I758+I764+I814+I821+I857+I893+I930</f>
        <v>702025.86622983986</v>
      </c>
      <c r="J435" s="117">
        <f>+J436+J509+J582+J686+J693+J740+J758+J764+J814+J821+J857+J893+J930</f>
        <v>540148.13444127387</v>
      </c>
      <c r="K435" s="117">
        <f>+K436+K509+K582+K686+K693+K740+K758+K764+K814+K821+K857+K893+K930</f>
        <v>594968.39302737161</v>
      </c>
      <c r="L435" s="117">
        <f>SUM(H435:K435)</f>
        <v>3662755.8188998853</v>
      </c>
      <c r="M435" s="117">
        <f>SUM(I435:L435)</f>
        <v>5499898.2125983704</v>
      </c>
      <c r="N435" s="117">
        <f>+N436+N509+N582+N686+N693+N740+N758+N764+N814+N821+N857+N893+N930</f>
        <v>684561.72705129266</v>
      </c>
      <c r="O435" s="117">
        <f>+O436+O509+O582+O686+O693+O740+O758+O764+O814+O821+O857+O893+O930</f>
        <v>587812.56020264572</v>
      </c>
      <c r="P435" s="117">
        <f>+P436+P509+P582+P686+P693+P740+P758+P764+P814+P821+P857+P893+P930</f>
        <v>606422.76234856993</v>
      </c>
      <c r="Q435" s="117">
        <f>SUM(M435:P435)</f>
        <v>7378695.2622008789</v>
      </c>
      <c r="R435" s="117">
        <f>SUM(N435:Q435)</f>
        <v>9257492.3118033875</v>
      </c>
      <c r="S435" s="117">
        <f>+S436+S509+S582+S686+S693+S740+S758+S764+S814+S821+S857+S893+S930</f>
        <v>666446.84228346567</v>
      </c>
      <c r="T435" s="117">
        <f>+T436+T509+T582+T686+T693+T740+T758+T764+T814+T821+T857+T893+T930</f>
        <v>655400.24080228677</v>
      </c>
      <c r="U435" s="117">
        <f>+U436+U509+U582+U686+U693+U740+U758+U764+U814+U821+U857+U893+U930</f>
        <v>623239.44218613033</v>
      </c>
      <c r="V435" s="117">
        <f>SUM(R435:U435)</f>
        <v>11202578.837075269</v>
      </c>
      <c r="W435" s="117">
        <f>SUM(S435:V435)</f>
        <v>13147665.362347152</v>
      </c>
      <c r="Y435" s="120">
        <f>+H435+M435+R435+W435</f>
        <v>29730669.311950311</v>
      </c>
    </row>
    <row r="436" spans="1:25" s="187" customFormat="1" ht="24.95" customHeight="1" x14ac:dyDescent="0.2">
      <c r="A436" s="303" t="s">
        <v>799</v>
      </c>
      <c r="B436" s="304"/>
      <c r="C436" s="301">
        <f>SUM(C437:C508)</f>
        <v>0</v>
      </c>
      <c r="D436" s="301">
        <f>SUM(D437:D508)</f>
        <v>329847.8659659999</v>
      </c>
      <c r="E436" s="301">
        <f>SUM(E437:E508)</f>
        <v>306901.24636699999</v>
      </c>
      <c r="F436" s="301">
        <f>SUM(F437:F508)</f>
        <v>326869.30716000003</v>
      </c>
      <c r="G436" s="301">
        <f>SUM(G437:G508)</f>
        <v>268626.84583100007</v>
      </c>
      <c r="H436" s="304">
        <f>SUM(D436:G436)</f>
        <v>1232245.265324</v>
      </c>
      <c r="I436" s="301">
        <f>SUM(I437:I508)</f>
        <v>123631.57344100002</v>
      </c>
      <c r="J436" s="301">
        <f>SUM(J437:J508)</f>
        <v>52287.194542000005</v>
      </c>
      <c r="K436" s="301">
        <f>SUM(K437:K508)</f>
        <v>91079.738355000009</v>
      </c>
      <c r="L436" s="301">
        <f>SUM(L437:L508)</f>
        <v>67579.738355000009</v>
      </c>
      <c r="M436" s="304">
        <f>SUM(I436:L436)</f>
        <v>334578.2446930001</v>
      </c>
      <c r="N436" s="301">
        <f>SUM(N437:N508)</f>
        <v>63615.947671000002</v>
      </c>
      <c r="O436" s="301">
        <f>SUM(O437:O508)</f>
        <v>47115.947671000002</v>
      </c>
      <c r="P436" s="301">
        <f>SUM(P437:P508)</f>
        <v>58115.947671000002</v>
      </c>
      <c r="Q436" s="301">
        <f>SUM(Q437:Q508)</f>
        <v>104115.947671</v>
      </c>
      <c r="R436" s="304">
        <f>SUM(N436:Q436)</f>
        <v>272963.79068400001</v>
      </c>
      <c r="S436" s="301">
        <f>SUM(S437:S508)</f>
        <v>56579.738355000009</v>
      </c>
      <c r="T436" s="301">
        <f>SUM(T437:T508)</f>
        <v>29079.738355000009</v>
      </c>
      <c r="U436" s="301">
        <f>SUM(U437:U508)</f>
        <v>44579.738355000009</v>
      </c>
      <c r="V436" s="301">
        <f>SUM(V437:V508)</f>
        <v>110079.73835500001</v>
      </c>
      <c r="W436" s="304">
        <f>SUM(S436:V436)</f>
        <v>240318.95342000003</v>
      </c>
      <c r="X436" s="186">
        <v>42976</v>
      </c>
    </row>
    <row r="437" spans="1:25" s="224" customFormat="1" ht="12.75" x14ac:dyDescent="0.2">
      <c r="A437" s="221"/>
      <c r="B437" s="221" t="s">
        <v>800</v>
      </c>
      <c r="C437" s="222"/>
      <c r="D437" s="222">
        <v>0</v>
      </c>
      <c r="E437" s="222">
        <v>0</v>
      </c>
      <c r="F437" s="222">
        <v>0</v>
      </c>
      <c r="G437" s="222">
        <v>0</v>
      </c>
      <c r="H437" s="223">
        <v>0</v>
      </c>
      <c r="I437" s="222">
        <v>0</v>
      </c>
      <c r="J437" s="222">
        <v>0</v>
      </c>
      <c r="K437" s="222">
        <v>4000</v>
      </c>
      <c r="L437" s="222">
        <v>0</v>
      </c>
      <c r="M437" s="223">
        <v>4000</v>
      </c>
      <c r="N437" s="222">
        <v>3000</v>
      </c>
      <c r="O437" s="222">
        <v>3000</v>
      </c>
      <c r="P437" s="222">
        <v>7000</v>
      </c>
      <c r="Q437" s="222">
        <v>0</v>
      </c>
      <c r="R437" s="223">
        <v>13000</v>
      </c>
      <c r="S437" s="222">
        <v>0</v>
      </c>
      <c r="T437" s="222">
        <v>0</v>
      </c>
      <c r="U437" s="222">
        <v>0</v>
      </c>
      <c r="V437" s="222">
        <v>0</v>
      </c>
      <c r="W437" s="223">
        <v>0</v>
      </c>
    </row>
    <row r="438" spans="1:25" s="224" customFormat="1" ht="12.75" x14ac:dyDescent="0.2">
      <c r="A438" s="225"/>
      <c r="B438" s="225" t="s">
        <v>801</v>
      </c>
      <c r="C438" s="226"/>
      <c r="D438" s="226">
        <v>0</v>
      </c>
      <c r="E438" s="226">
        <v>0</v>
      </c>
      <c r="F438" s="226">
        <v>0</v>
      </c>
      <c r="G438" s="226">
        <v>0</v>
      </c>
      <c r="H438" s="227">
        <v>0</v>
      </c>
      <c r="I438" s="226">
        <v>0</v>
      </c>
      <c r="J438" s="226">
        <v>0</v>
      </c>
      <c r="K438" s="226">
        <v>6000</v>
      </c>
      <c r="L438" s="226">
        <v>0</v>
      </c>
      <c r="M438" s="227">
        <v>6000</v>
      </c>
      <c r="N438" s="226">
        <v>0</v>
      </c>
      <c r="O438" s="226">
        <v>6000</v>
      </c>
      <c r="P438" s="226">
        <v>6000</v>
      </c>
      <c r="Q438" s="226">
        <v>8000</v>
      </c>
      <c r="R438" s="227">
        <v>20000</v>
      </c>
      <c r="S438" s="226">
        <v>4000</v>
      </c>
      <c r="T438" s="226">
        <v>0</v>
      </c>
      <c r="U438" s="226">
        <v>0</v>
      </c>
      <c r="V438" s="226">
        <v>0</v>
      </c>
      <c r="W438" s="227">
        <v>4000</v>
      </c>
    </row>
    <row r="439" spans="1:25" s="224" customFormat="1" ht="12.75" x14ac:dyDescent="0.2">
      <c r="A439" s="225"/>
      <c r="B439" s="225" t="s">
        <v>802</v>
      </c>
      <c r="C439" s="226"/>
      <c r="D439" s="226">
        <v>249.13576</v>
      </c>
      <c r="E439" s="226">
        <v>0</v>
      </c>
      <c r="F439" s="226">
        <v>0</v>
      </c>
      <c r="G439" s="226">
        <v>0</v>
      </c>
      <c r="H439" s="227">
        <v>249.13576</v>
      </c>
      <c r="I439" s="226">
        <v>0</v>
      </c>
      <c r="J439" s="226">
        <v>0</v>
      </c>
      <c r="K439" s="226">
        <v>18000</v>
      </c>
      <c r="L439" s="226">
        <v>3000</v>
      </c>
      <c r="M439" s="227">
        <v>21000</v>
      </c>
      <c r="N439" s="226">
        <v>0</v>
      </c>
      <c r="O439" s="226">
        <v>0</v>
      </c>
      <c r="P439" s="226">
        <v>0</v>
      </c>
      <c r="Q439" s="226">
        <v>7000</v>
      </c>
      <c r="R439" s="227">
        <v>7000</v>
      </c>
      <c r="S439" s="226">
        <v>0</v>
      </c>
      <c r="T439" s="226">
        <v>4000</v>
      </c>
      <c r="U439" s="226">
        <v>3000</v>
      </c>
      <c r="V439" s="226">
        <v>0</v>
      </c>
      <c r="W439" s="227">
        <v>7000</v>
      </c>
    </row>
    <row r="440" spans="1:25" s="224" customFormat="1" ht="12.75" x14ac:dyDescent="0.2">
      <c r="A440" s="225"/>
      <c r="B440" s="225" t="s">
        <v>803</v>
      </c>
      <c r="C440" s="226"/>
      <c r="D440" s="226">
        <v>298.80478099999999</v>
      </c>
      <c r="E440" s="226">
        <v>1045.9339110000001</v>
      </c>
      <c r="F440" s="226">
        <v>0</v>
      </c>
      <c r="G440" s="226">
        <v>0</v>
      </c>
      <c r="H440" s="227">
        <v>1344.7386920000001</v>
      </c>
      <c r="I440" s="226">
        <v>3000</v>
      </c>
      <c r="J440" s="226">
        <v>0</v>
      </c>
      <c r="K440" s="226">
        <v>0</v>
      </c>
      <c r="L440" s="226">
        <v>0</v>
      </c>
      <c r="M440" s="227">
        <v>3000</v>
      </c>
      <c r="N440" s="226">
        <v>0</v>
      </c>
      <c r="O440" s="226">
        <v>0</v>
      </c>
      <c r="P440" s="226">
        <v>4000</v>
      </c>
      <c r="Q440" s="226">
        <v>5000</v>
      </c>
      <c r="R440" s="227">
        <v>9000</v>
      </c>
      <c r="S440" s="226">
        <v>0</v>
      </c>
      <c r="T440" s="226">
        <v>0</v>
      </c>
      <c r="U440" s="226">
        <v>0</v>
      </c>
      <c r="V440" s="226">
        <v>0</v>
      </c>
      <c r="W440" s="227">
        <v>0</v>
      </c>
    </row>
    <row r="441" spans="1:25" s="224" customFormat="1" ht="12.75" x14ac:dyDescent="0.2">
      <c r="A441" s="225"/>
      <c r="B441" s="225" t="s">
        <v>804</v>
      </c>
      <c r="C441" s="226"/>
      <c r="D441" s="226">
        <v>0</v>
      </c>
      <c r="E441" s="226">
        <v>0</v>
      </c>
      <c r="F441" s="226">
        <v>0</v>
      </c>
      <c r="G441" s="226">
        <v>0</v>
      </c>
      <c r="H441" s="227">
        <v>0</v>
      </c>
      <c r="I441" s="226">
        <v>0</v>
      </c>
      <c r="J441" s="226">
        <v>6000</v>
      </c>
      <c r="K441" s="226">
        <v>5000</v>
      </c>
      <c r="L441" s="226">
        <v>0</v>
      </c>
      <c r="M441" s="227">
        <v>11000</v>
      </c>
      <c r="N441" s="226">
        <v>2000</v>
      </c>
      <c r="O441" s="226">
        <v>0</v>
      </c>
      <c r="P441" s="226">
        <v>0</v>
      </c>
      <c r="Q441" s="226">
        <v>0</v>
      </c>
      <c r="R441" s="227">
        <v>2000</v>
      </c>
      <c r="S441" s="226">
        <v>4500</v>
      </c>
      <c r="T441" s="226">
        <v>4500</v>
      </c>
      <c r="U441" s="226">
        <v>0</v>
      </c>
      <c r="V441" s="226">
        <v>0</v>
      </c>
      <c r="W441" s="227">
        <v>9000</v>
      </c>
    </row>
    <row r="442" spans="1:25" s="224" customFormat="1" ht="12.75" x14ac:dyDescent="0.2">
      <c r="A442" s="225"/>
      <c r="B442" s="225" t="s">
        <v>805</v>
      </c>
      <c r="C442" s="226"/>
      <c r="D442" s="226">
        <v>6417.8368049999999</v>
      </c>
      <c r="E442" s="226">
        <v>8022.2960059999996</v>
      </c>
      <c r="F442" s="302">
        <v>17723.934130000001</v>
      </c>
      <c r="G442" s="302">
        <v>8000</v>
      </c>
      <c r="H442" s="227">
        <v>40164.066940999997</v>
      </c>
      <c r="I442" s="226">
        <v>3000</v>
      </c>
      <c r="J442" s="226">
        <v>0</v>
      </c>
      <c r="K442" s="226">
        <v>0</v>
      </c>
      <c r="L442" s="226">
        <v>0</v>
      </c>
      <c r="M442" s="227">
        <v>3000</v>
      </c>
      <c r="N442" s="226">
        <v>4000</v>
      </c>
      <c r="O442" s="226">
        <v>0</v>
      </c>
      <c r="P442" s="226">
        <v>0</v>
      </c>
      <c r="Q442" s="226">
        <v>4000</v>
      </c>
      <c r="R442" s="227">
        <v>8000</v>
      </c>
      <c r="S442" s="226">
        <v>0</v>
      </c>
      <c r="T442" s="226">
        <v>0</v>
      </c>
      <c r="U442" s="226">
        <v>0</v>
      </c>
      <c r="V442" s="226">
        <v>4500</v>
      </c>
      <c r="W442" s="227">
        <v>4500</v>
      </c>
    </row>
    <row r="443" spans="1:25" s="224" customFormat="1" ht="12.75" x14ac:dyDescent="0.2">
      <c r="A443" s="225"/>
      <c r="B443" s="225" t="s">
        <v>806</v>
      </c>
      <c r="C443" s="226"/>
      <c r="D443" s="226">
        <v>0</v>
      </c>
      <c r="E443" s="226">
        <v>0</v>
      </c>
      <c r="F443" s="226">
        <v>0</v>
      </c>
      <c r="G443" s="226">
        <v>0</v>
      </c>
      <c r="H443" s="227">
        <v>0</v>
      </c>
      <c r="I443" s="226">
        <v>0</v>
      </c>
      <c r="J443" s="226">
        <v>0</v>
      </c>
      <c r="K443" s="226">
        <v>0</v>
      </c>
      <c r="L443" s="226">
        <v>3000</v>
      </c>
      <c r="M443" s="227">
        <v>3000</v>
      </c>
      <c r="N443" s="226">
        <v>0</v>
      </c>
      <c r="O443" s="226">
        <v>0</v>
      </c>
      <c r="P443" s="226">
        <v>0</v>
      </c>
      <c r="Q443" s="226">
        <v>0</v>
      </c>
      <c r="R443" s="227">
        <v>0</v>
      </c>
      <c r="S443" s="226">
        <v>0</v>
      </c>
      <c r="T443" s="226">
        <v>0</v>
      </c>
      <c r="U443" s="226">
        <v>0</v>
      </c>
      <c r="V443" s="226">
        <v>0</v>
      </c>
      <c r="W443" s="227">
        <v>0</v>
      </c>
    </row>
    <row r="444" spans="1:25" s="224" customFormat="1" ht="12.75" x14ac:dyDescent="0.2">
      <c r="A444" s="225"/>
      <c r="B444" s="225" t="s">
        <v>807</v>
      </c>
      <c r="C444" s="226"/>
      <c r="D444" s="226">
        <v>0</v>
      </c>
      <c r="E444" s="226">
        <v>0</v>
      </c>
      <c r="F444" s="226">
        <v>0</v>
      </c>
      <c r="G444" s="226">
        <v>0</v>
      </c>
      <c r="H444" s="227">
        <v>0</v>
      </c>
      <c r="I444" s="226">
        <v>6000</v>
      </c>
      <c r="J444" s="226">
        <v>0</v>
      </c>
      <c r="K444" s="226">
        <v>0</v>
      </c>
      <c r="L444" s="226">
        <v>0</v>
      </c>
      <c r="M444" s="227">
        <v>6000</v>
      </c>
      <c r="N444" s="226">
        <v>0</v>
      </c>
      <c r="O444" s="226">
        <v>0</v>
      </c>
      <c r="P444" s="226">
        <v>0</v>
      </c>
      <c r="Q444" s="226">
        <v>0</v>
      </c>
      <c r="R444" s="227">
        <v>0</v>
      </c>
      <c r="S444" s="226">
        <v>0</v>
      </c>
      <c r="T444" s="226">
        <v>0</v>
      </c>
      <c r="U444" s="226">
        <v>0</v>
      </c>
      <c r="V444" s="226">
        <v>6000</v>
      </c>
      <c r="W444" s="227">
        <v>6000</v>
      </c>
    </row>
    <row r="445" spans="1:25" s="224" customFormat="1" ht="12.75" x14ac:dyDescent="0.2">
      <c r="A445" s="225"/>
      <c r="B445" s="225" t="s">
        <v>808</v>
      </c>
      <c r="C445" s="226"/>
      <c r="D445" s="226">
        <v>0</v>
      </c>
      <c r="E445" s="226">
        <v>0</v>
      </c>
      <c r="F445" s="302">
        <v>47.459299999999999</v>
      </c>
      <c r="G445" s="302">
        <v>4000</v>
      </c>
      <c r="H445" s="227">
        <v>4047.4593</v>
      </c>
      <c r="I445" s="226">
        <v>0</v>
      </c>
      <c r="J445" s="226">
        <v>3000</v>
      </c>
      <c r="K445" s="226">
        <v>3000</v>
      </c>
      <c r="L445" s="226">
        <v>2000</v>
      </c>
      <c r="M445" s="227">
        <v>8000</v>
      </c>
      <c r="N445" s="226">
        <v>2000</v>
      </c>
      <c r="O445" s="226">
        <v>5000</v>
      </c>
      <c r="P445" s="226">
        <v>0</v>
      </c>
      <c r="Q445" s="226">
        <v>0</v>
      </c>
      <c r="R445" s="227">
        <v>7000</v>
      </c>
      <c r="S445" s="226">
        <v>0</v>
      </c>
      <c r="T445" s="226">
        <v>0</v>
      </c>
      <c r="U445" s="226">
        <v>12000</v>
      </c>
      <c r="V445" s="226">
        <v>15000</v>
      </c>
      <c r="W445" s="227">
        <v>27000</v>
      </c>
    </row>
    <row r="446" spans="1:25" s="224" customFormat="1" ht="12.75" x14ac:dyDescent="0.2">
      <c r="A446" s="225"/>
      <c r="B446" s="225" t="s">
        <v>809</v>
      </c>
      <c r="C446" s="226"/>
      <c r="D446" s="226">
        <v>0</v>
      </c>
      <c r="E446" s="226">
        <v>0</v>
      </c>
      <c r="F446" s="226">
        <v>0</v>
      </c>
      <c r="G446" s="226">
        <v>0</v>
      </c>
      <c r="H446" s="227">
        <v>0</v>
      </c>
      <c r="I446" s="226">
        <v>0</v>
      </c>
      <c r="J446" s="226">
        <v>0</v>
      </c>
      <c r="K446" s="226">
        <v>0</v>
      </c>
      <c r="L446" s="226">
        <v>0</v>
      </c>
      <c r="M446" s="227">
        <v>0</v>
      </c>
      <c r="N446" s="226">
        <v>0</v>
      </c>
      <c r="O446" s="226">
        <v>0</v>
      </c>
      <c r="P446" s="226">
        <v>0</v>
      </c>
      <c r="Q446" s="226">
        <v>0</v>
      </c>
      <c r="R446" s="227">
        <v>0</v>
      </c>
      <c r="S446" s="226">
        <v>0</v>
      </c>
      <c r="T446" s="226">
        <v>4500</v>
      </c>
      <c r="U446" s="226">
        <v>6500</v>
      </c>
      <c r="V446" s="226">
        <v>0</v>
      </c>
      <c r="W446" s="227">
        <v>11000</v>
      </c>
    </row>
    <row r="447" spans="1:25" s="224" customFormat="1" ht="12.75" x14ac:dyDescent="0.2">
      <c r="A447" s="225"/>
      <c r="B447" s="225" t="s">
        <v>810</v>
      </c>
      <c r="C447" s="226"/>
      <c r="D447" s="226">
        <v>0</v>
      </c>
      <c r="E447" s="226">
        <v>0</v>
      </c>
      <c r="F447" s="226">
        <v>0</v>
      </c>
      <c r="G447" s="226">
        <v>0</v>
      </c>
      <c r="H447" s="227">
        <v>0</v>
      </c>
      <c r="I447" s="226">
        <v>0</v>
      </c>
      <c r="J447" s="226">
        <v>0</v>
      </c>
      <c r="K447" s="226">
        <v>0</v>
      </c>
      <c r="L447" s="226">
        <v>0</v>
      </c>
      <c r="M447" s="227">
        <v>0</v>
      </c>
      <c r="N447" s="226">
        <v>0</v>
      </c>
      <c r="O447" s="226">
        <v>0</v>
      </c>
      <c r="P447" s="226">
        <v>0</v>
      </c>
      <c r="Q447" s="226">
        <v>0</v>
      </c>
      <c r="R447" s="227">
        <v>0</v>
      </c>
      <c r="S447" s="226">
        <v>0</v>
      </c>
      <c r="T447" s="226">
        <v>5000</v>
      </c>
      <c r="U447" s="226">
        <v>6000</v>
      </c>
      <c r="V447" s="226">
        <v>0</v>
      </c>
      <c r="W447" s="227">
        <v>11000</v>
      </c>
    </row>
    <row r="448" spans="1:25" s="224" customFormat="1" ht="12.75" x14ac:dyDescent="0.2">
      <c r="A448" s="225"/>
      <c r="B448" s="225" t="s">
        <v>811</v>
      </c>
      <c r="C448" s="226"/>
      <c r="D448" s="226">
        <v>41050.916823</v>
      </c>
      <c r="E448" s="226">
        <v>0</v>
      </c>
      <c r="F448" s="302">
        <v>34532.117044999999</v>
      </c>
      <c r="G448" s="302">
        <v>3000</v>
      </c>
      <c r="H448" s="227">
        <v>78583.033867999999</v>
      </c>
      <c r="I448" s="226">
        <v>0</v>
      </c>
      <c r="J448" s="226">
        <v>3000</v>
      </c>
      <c r="K448" s="226">
        <v>3000</v>
      </c>
      <c r="L448" s="226">
        <v>2000</v>
      </c>
      <c r="M448" s="227">
        <v>8000</v>
      </c>
      <c r="N448" s="226">
        <v>2000</v>
      </c>
      <c r="O448" s="226">
        <v>0</v>
      </c>
      <c r="P448" s="226">
        <v>3000</v>
      </c>
      <c r="Q448" s="226">
        <v>0</v>
      </c>
      <c r="R448" s="227">
        <v>5000</v>
      </c>
      <c r="S448" s="226">
        <v>0</v>
      </c>
      <c r="T448" s="226">
        <v>0</v>
      </c>
      <c r="U448" s="226">
        <v>0</v>
      </c>
      <c r="V448" s="226">
        <v>12000</v>
      </c>
      <c r="W448" s="227">
        <v>12000</v>
      </c>
    </row>
    <row r="449" spans="1:23" s="224" customFormat="1" ht="12.75" x14ac:dyDescent="0.2">
      <c r="A449" s="225"/>
      <c r="B449" s="225" t="s">
        <v>812</v>
      </c>
      <c r="C449" s="226"/>
      <c r="D449" s="226">
        <v>0</v>
      </c>
      <c r="E449" s="226">
        <v>0</v>
      </c>
      <c r="F449" s="226">
        <v>0</v>
      </c>
      <c r="G449" s="226">
        <v>0</v>
      </c>
      <c r="H449" s="227">
        <v>0</v>
      </c>
      <c r="I449" s="226">
        <v>0</v>
      </c>
      <c r="J449" s="226">
        <v>0</v>
      </c>
      <c r="K449" s="226">
        <v>0</v>
      </c>
      <c r="L449" s="226">
        <v>0</v>
      </c>
      <c r="M449" s="227">
        <v>0</v>
      </c>
      <c r="N449" s="226">
        <v>4000</v>
      </c>
      <c r="O449" s="226">
        <v>0</v>
      </c>
      <c r="P449" s="226">
        <v>0</v>
      </c>
      <c r="Q449" s="226">
        <v>0</v>
      </c>
      <c r="R449" s="227">
        <v>4000</v>
      </c>
      <c r="S449" s="226">
        <v>3000</v>
      </c>
      <c r="T449" s="226">
        <v>0</v>
      </c>
      <c r="U449" s="226">
        <v>0</v>
      </c>
      <c r="V449" s="226">
        <v>12000</v>
      </c>
      <c r="W449" s="227">
        <v>15000</v>
      </c>
    </row>
    <row r="450" spans="1:23" s="224" customFormat="1" ht="12.75" x14ac:dyDescent="0.2">
      <c r="A450" s="225"/>
      <c r="B450" s="225" t="s">
        <v>813</v>
      </c>
      <c r="C450" s="226"/>
      <c r="D450" s="226">
        <v>23273.980675999999</v>
      </c>
      <c r="E450" s="226">
        <v>17000.109016999999</v>
      </c>
      <c r="F450" s="302">
        <v>8245.4094889999997</v>
      </c>
      <c r="G450" s="302">
        <v>22678.466762</v>
      </c>
      <c r="H450" s="227">
        <v>71197.965943999996</v>
      </c>
      <c r="I450" s="226">
        <v>112.570554</v>
      </c>
      <c r="J450" s="226">
        <v>112.570554</v>
      </c>
      <c r="K450" s="226">
        <v>115.947671</v>
      </c>
      <c r="L450" s="226">
        <v>115.947671</v>
      </c>
      <c r="M450" s="227">
        <v>457.03645</v>
      </c>
      <c r="N450" s="226">
        <v>115.947671</v>
      </c>
      <c r="O450" s="226">
        <v>115.947671</v>
      </c>
      <c r="P450" s="226">
        <v>115.947671</v>
      </c>
      <c r="Q450" s="226">
        <v>115.947671</v>
      </c>
      <c r="R450" s="227">
        <v>463.790684</v>
      </c>
      <c r="S450" s="226">
        <v>115.947671</v>
      </c>
      <c r="T450" s="226">
        <v>115.947671</v>
      </c>
      <c r="U450" s="226">
        <v>115.947671</v>
      </c>
      <c r="V450" s="226">
        <v>115.947671</v>
      </c>
      <c r="W450" s="227">
        <v>463.790684</v>
      </c>
    </row>
    <row r="451" spans="1:23" s="224" customFormat="1" ht="12.75" x14ac:dyDescent="0.2">
      <c r="A451" s="225"/>
      <c r="B451" s="225" t="s">
        <v>814</v>
      </c>
      <c r="C451" s="226"/>
      <c r="D451" s="226">
        <v>0</v>
      </c>
      <c r="E451" s="226">
        <v>0</v>
      </c>
      <c r="F451" s="226">
        <v>0</v>
      </c>
      <c r="G451" s="226">
        <v>0</v>
      </c>
      <c r="H451" s="227">
        <v>0</v>
      </c>
      <c r="I451" s="226">
        <v>0</v>
      </c>
      <c r="J451" s="226">
        <v>0</v>
      </c>
      <c r="K451" s="226">
        <v>0</v>
      </c>
      <c r="L451" s="226">
        <v>0</v>
      </c>
      <c r="M451" s="227">
        <v>0</v>
      </c>
      <c r="N451" s="226">
        <v>0</v>
      </c>
      <c r="O451" s="226">
        <v>0</v>
      </c>
      <c r="P451" s="226">
        <v>0</v>
      </c>
      <c r="Q451" s="226">
        <v>0</v>
      </c>
      <c r="R451" s="227">
        <v>0</v>
      </c>
      <c r="S451" s="226">
        <v>0</v>
      </c>
      <c r="T451" s="226">
        <v>0</v>
      </c>
      <c r="U451" s="226">
        <v>0</v>
      </c>
      <c r="V451" s="226">
        <v>0</v>
      </c>
      <c r="W451" s="227">
        <v>0</v>
      </c>
    </row>
    <row r="452" spans="1:23" s="224" customFormat="1" ht="12.75" x14ac:dyDescent="0.2">
      <c r="A452" s="225"/>
      <c r="B452" s="225" t="s">
        <v>815</v>
      </c>
      <c r="C452" s="226"/>
      <c r="D452" s="226">
        <v>1257.2855380000001</v>
      </c>
      <c r="E452" s="226">
        <v>0</v>
      </c>
      <c r="F452" s="226">
        <v>0</v>
      </c>
      <c r="G452" s="302">
        <v>9000</v>
      </c>
      <c r="H452" s="227">
        <v>10257.285538</v>
      </c>
      <c r="I452" s="226">
        <v>23000</v>
      </c>
      <c r="J452" s="226">
        <v>0</v>
      </c>
      <c r="K452" s="226">
        <v>0</v>
      </c>
      <c r="L452" s="226">
        <v>0</v>
      </c>
      <c r="M452" s="227">
        <v>23000</v>
      </c>
      <c r="N452" s="226">
        <v>0</v>
      </c>
      <c r="O452" s="226">
        <v>3000</v>
      </c>
      <c r="P452" s="226">
        <v>0</v>
      </c>
      <c r="Q452" s="226">
        <v>4000</v>
      </c>
      <c r="R452" s="227">
        <v>7000</v>
      </c>
      <c r="S452" s="226">
        <v>0</v>
      </c>
      <c r="T452" s="226">
        <v>0</v>
      </c>
      <c r="U452" s="226">
        <v>0</v>
      </c>
      <c r="V452" s="226">
        <v>0</v>
      </c>
      <c r="W452" s="227">
        <v>0</v>
      </c>
    </row>
    <row r="453" spans="1:23" s="224" customFormat="1" ht="12.75" x14ac:dyDescent="0.2">
      <c r="A453" s="225"/>
      <c r="B453" s="225" t="s">
        <v>816</v>
      </c>
      <c r="C453" s="226"/>
      <c r="D453" s="226">
        <v>0</v>
      </c>
      <c r="E453" s="226">
        <v>0</v>
      </c>
      <c r="F453" s="226">
        <v>0</v>
      </c>
      <c r="G453" s="226">
        <v>0</v>
      </c>
      <c r="H453" s="227">
        <v>0</v>
      </c>
      <c r="I453" s="226">
        <v>0</v>
      </c>
      <c r="J453" s="226">
        <v>0</v>
      </c>
      <c r="K453" s="226">
        <v>5000</v>
      </c>
      <c r="L453" s="226">
        <v>4000</v>
      </c>
      <c r="M453" s="227">
        <v>9000</v>
      </c>
      <c r="N453" s="226">
        <v>0</v>
      </c>
      <c r="O453" s="226">
        <v>7000</v>
      </c>
      <c r="P453" s="226">
        <v>5000</v>
      </c>
      <c r="Q453" s="226">
        <v>3000</v>
      </c>
      <c r="R453" s="227">
        <v>15000</v>
      </c>
      <c r="S453" s="226">
        <v>0</v>
      </c>
      <c r="T453" s="226">
        <v>4000</v>
      </c>
      <c r="U453" s="226">
        <v>0</v>
      </c>
      <c r="V453" s="226">
        <v>0</v>
      </c>
      <c r="W453" s="227">
        <v>4000</v>
      </c>
    </row>
    <row r="454" spans="1:23" s="224" customFormat="1" ht="12.75" x14ac:dyDescent="0.2">
      <c r="A454" s="225"/>
      <c r="B454" s="225" t="s">
        <v>817</v>
      </c>
      <c r="C454" s="226"/>
      <c r="D454" s="226">
        <v>0</v>
      </c>
      <c r="E454" s="226">
        <v>0</v>
      </c>
      <c r="F454" s="226">
        <v>0</v>
      </c>
      <c r="G454" s="226">
        <v>0</v>
      </c>
      <c r="H454" s="227">
        <v>0</v>
      </c>
      <c r="I454" s="226">
        <v>0</v>
      </c>
      <c r="J454" s="226">
        <v>0</v>
      </c>
      <c r="K454" s="226">
        <v>0</v>
      </c>
      <c r="L454" s="226">
        <v>0</v>
      </c>
      <c r="M454" s="227">
        <v>0</v>
      </c>
      <c r="N454" s="226">
        <v>0</v>
      </c>
      <c r="O454" s="226">
        <v>0</v>
      </c>
      <c r="P454" s="226">
        <v>0</v>
      </c>
      <c r="Q454" s="226">
        <v>3000</v>
      </c>
      <c r="R454" s="227">
        <v>3000</v>
      </c>
      <c r="S454" s="226">
        <v>5000</v>
      </c>
      <c r="T454" s="226">
        <v>0</v>
      </c>
      <c r="U454" s="226">
        <v>0</v>
      </c>
      <c r="V454" s="226">
        <v>0</v>
      </c>
      <c r="W454" s="227">
        <v>5000</v>
      </c>
    </row>
    <row r="455" spans="1:23" s="224" customFormat="1" ht="12.75" x14ac:dyDescent="0.2">
      <c r="A455" s="225"/>
      <c r="B455" s="225" t="s">
        <v>818</v>
      </c>
      <c r="C455" s="226"/>
      <c r="D455" s="226">
        <v>5705.297345</v>
      </c>
      <c r="E455" s="226">
        <v>7092.778542</v>
      </c>
      <c r="F455" s="302">
        <v>13025.736539</v>
      </c>
      <c r="G455" s="302">
        <v>14570.533841</v>
      </c>
      <c r="H455" s="227">
        <v>40394.346267000001</v>
      </c>
      <c r="I455" s="226">
        <v>9040.5292069999996</v>
      </c>
      <c r="J455" s="226">
        <v>0</v>
      </c>
      <c r="K455" s="226">
        <v>0</v>
      </c>
      <c r="L455" s="226">
        <v>0</v>
      </c>
      <c r="M455" s="227">
        <v>9040.5292069999996</v>
      </c>
      <c r="N455" s="226">
        <v>3000</v>
      </c>
      <c r="O455" s="226">
        <v>0</v>
      </c>
      <c r="P455" s="226">
        <v>0</v>
      </c>
      <c r="Q455" s="226">
        <v>3000</v>
      </c>
      <c r="R455" s="227">
        <v>6000</v>
      </c>
      <c r="S455" s="226">
        <v>6000</v>
      </c>
      <c r="T455" s="226">
        <v>0</v>
      </c>
      <c r="U455" s="226">
        <v>0</v>
      </c>
      <c r="V455" s="226">
        <v>0</v>
      </c>
      <c r="W455" s="227">
        <v>6000</v>
      </c>
    </row>
    <row r="456" spans="1:23" s="224" customFormat="1" ht="12.75" x14ac:dyDescent="0.2">
      <c r="A456" s="225"/>
      <c r="B456" s="225" t="s">
        <v>819</v>
      </c>
      <c r="C456" s="226"/>
      <c r="D456" s="226">
        <v>0</v>
      </c>
      <c r="E456" s="226">
        <v>0</v>
      </c>
      <c r="F456" s="226">
        <v>0</v>
      </c>
      <c r="G456" s="226">
        <v>0</v>
      </c>
      <c r="H456" s="227">
        <v>0</v>
      </c>
      <c r="I456" s="226">
        <v>0</v>
      </c>
      <c r="J456" s="226">
        <v>0</v>
      </c>
      <c r="K456" s="226">
        <v>0</v>
      </c>
      <c r="L456" s="226">
        <v>0</v>
      </c>
      <c r="M456" s="227">
        <v>0</v>
      </c>
      <c r="N456" s="226">
        <v>0</v>
      </c>
      <c r="O456" s="226">
        <v>0</v>
      </c>
      <c r="P456" s="226">
        <v>0</v>
      </c>
      <c r="Q456" s="226">
        <v>3000</v>
      </c>
      <c r="R456" s="227">
        <v>3000</v>
      </c>
      <c r="S456" s="226">
        <v>0</v>
      </c>
      <c r="T456" s="226">
        <v>0</v>
      </c>
      <c r="U456" s="226">
        <v>0</v>
      </c>
      <c r="V456" s="226">
        <v>0</v>
      </c>
      <c r="W456" s="227">
        <v>0</v>
      </c>
    </row>
    <row r="457" spans="1:23" s="224" customFormat="1" ht="12.75" x14ac:dyDescent="0.2">
      <c r="A457" s="225"/>
      <c r="B457" s="225" t="s">
        <v>820</v>
      </c>
      <c r="C457" s="226"/>
      <c r="D457" s="226">
        <v>0</v>
      </c>
      <c r="E457" s="226">
        <v>0</v>
      </c>
      <c r="F457" s="226">
        <v>0</v>
      </c>
      <c r="G457" s="226">
        <v>0</v>
      </c>
      <c r="H457" s="227">
        <v>0</v>
      </c>
      <c r="I457" s="226">
        <v>0</v>
      </c>
      <c r="J457" s="226">
        <v>0</v>
      </c>
      <c r="K457" s="226">
        <v>0</v>
      </c>
      <c r="L457" s="226">
        <v>0</v>
      </c>
      <c r="M457" s="227">
        <v>0</v>
      </c>
      <c r="N457" s="226">
        <v>0</v>
      </c>
      <c r="O457" s="226">
        <v>0</v>
      </c>
      <c r="P457" s="226">
        <v>0</v>
      </c>
      <c r="Q457" s="226">
        <v>0</v>
      </c>
      <c r="R457" s="227">
        <v>0</v>
      </c>
      <c r="S457" s="226">
        <v>0</v>
      </c>
      <c r="T457" s="226">
        <v>0</v>
      </c>
      <c r="U457" s="226">
        <v>0</v>
      </c>
      <c r="V457" s="226">
        <v>14000</v>
      </c>
      <c r="W457" s="227">
        <v>14000</v>
      </c>
    </row>
    <row r="458" spans="1:23" s="224" customFormat="1" ht="12.75" x14ac:dyDescent="0.2">
      <c r="A458" s="225"/>
      <c r="B458" s="225" t="s">
        <v>821</v>
      </c>
      <c r="C458" s="226"/>
      <c r="D458" s="226">
        <v>0</v>
      </c>
      <c r="E458" s="226">
        <v>0</v>
      </c>
      <c r="F458" s="226">
        <v>0</v>
      </c>
      <c r="G458" s="226">
        <v>0</v>
      </c>
      <c r="H458" s="227">
        <v>0</v>
      </c>
      <c r="I458" s="226">
        <v>0</v>
      </c>
      <c r="J458" s="226">
        <v>0</v>
      </c>
      <c r="K458" s="226">
        <v>0</v>
      </c>
      <c r="L458" s="226">
        <v>0</v>
      </c>
      <c r="M458" s="227">
        <v>0</v>
      </c>
      <c r="N458" s="226">
        <v>0</v>
      </c>
      <c r="O458" s="226">
        <v>0</v>
      </c>
      <c r="P458" s="226">
        <v>0</v>
      </c>
      <c r="Q458" s="226">
        <v>0</v>
      </c>
      <c r="R458" s="227">
        <v>0</v>
      </c>
      <c r="S458" s="226">
        <v>0</v>
      </c>
      <c r="T458" s="226">
        <v>0</v>
      </c>
      <c r="U458" s="226">
        <v>0</v>
      </c>
      <c r="V458" s="226">
        <v>0</v>
      </c>
      <c r="W458" s="227">
        <v>0</v>
      </c>
    </row>
    <row r="459" spans="1:23" s="224" customFormat="1" ht="12.75" x14ac:dyDescent="0.2">
      <c r="A459" s="225"/>
      <c r="B459" s="225" t="s">
        <v>822</v>
      </c>
      <c r="C459" s="226"/>
      <c r="D459" s="226">
        <v>35986.563364000001</v>
      </c>
      <c r="E459" s="226">
        <v>37350.597609999997</v>
      </c>
      <c r="F459" s="302">
        <v>2105.6866920000002</v>
      </c>
      <c r="G459" s="302">
        <v>48229.959588999998</v>
      </c>
      <c r="H459" s="227">
        <v>123672.80725499999</v>
      </c>
      <c r="I459" s="226">
        <v>0</v>
      </c>
      <c r="J459" s="226">
        <v>0</v>
      </c>
      <c r="K459" s="226">
        <v>0</v>
      </c>
      <c r="L459" s="226">
        <v>0</v>
      </c>
      <c r="M459" s="227">
        <v>0</v>
      </c>
      <c r="N459" s="226">
        <v>0</v>
      </c>
      <c r="O459" s="226">
        <v>0</v>
      </c>
      <c r="P459" s="226">
        <v>0</v>
      </c>
      <c r="Q459" s="226">
        <v>0</v>
      </c>
      <c r="R459" s="227">
        <v>0</v>
      </c>
      <c r="S459" s="226">
        <v>0</v>
      </c>
      <c r="T459" s="226">
        <v>0</v>
      </c>
      <c r="U459" s="226">
        <v>0</v>
      </c>
      <c r="V459" s="226">
        <v>0</v>
      </c>
      <c r="W459" s="227">
        <v>0</v>
      </c>
    </row>
    <row r="460" spans="1:23" s="224" customFormat="1" ht="12.75" x14ac:dyDescent="0.2">
      <c r="A460" s="225"/>
      <c r="B460" s="225" t="s">
        <v>823</v>
      </c>
      <c r="C460" s="226"/>
      <c r="D460" s="226">
        <v>0</v>
      </c>
      <c r="E460" s="226">
        <v>0</v>
      </c>
      <c r="F460" s="226">
        <v>0</v>
      </c>
      <c r="G460" s="226">
        <v>0</v>
      </c>
      <c r="H460" s="227">
        <v>0</v>
      </c>
      <c r="I460" s="226">
        <v>3000</v>
      </c>
      <c r="J460" s="226">
        <v>0</v>
      </c>
      <c r="K460" s="226">
        <v>2000</v>
      </c>
      <c r="L460" s="226">
        <v>0</v>
      </c>
      <c r="M460" s="227">
        <v>5000</v>
      </c>
      <c r="N460" s="226">
        <v>0</v>
      </c>
      <c r="O460" s="226">
        <v>0</v>
      </c>
      <c r="P460" s="226">
        <v>0</v>
      </c>
      <c r="Q460" s="226">
        <v>2000</v>
      </c>
      <c r="R460" s="227">
        <v>2000</v>
      </c>
      <c r="S460" s="226">
        <v>2000</v>
      </c>
      <c r="T460" s="226">
        <v>0</v>
      </c>
      <c r="U460" s="226">
        <v>0</v>
      </c>
      <c r="V460" s="226">
        <v>0</v>
      </c>
      <c r="W460" s="227">
        <v>2000</v>
      </c>
    </row>
    <row r="461" spans="1:23" s="224" customFormat="1" ht="12.75" x14ac:dyDescent="0.2">
      <c r="A461" s="225"/>
      <c r="B461" s="225" t="s">
        <v>824</v>
      </c>
      <c r="C461" s="226"/>
      <c r="D461" s="226">
        <v>0</v>
      </c>
      <c r="E461" s="226">
        <v>0</v>
      </c>
      <c r="F461" s="226">
        <v>0</v>
      </c>
      <c r="G461" s="226">
        <v>0</v>
      </c>
      <c r="H461" s="227">
        <v>0</v>
      </c>
      <c r="I461" s="226">
        <v>0</v>
      </c>
      <c r="J461" s="226">
        <v>0</v>
      </c>
      <c r="K461" s="226">
        <v>0</v>
      </c>
      <c r="L461" s="226">
        <v>0</v>
      </c>
      <c r="M461" s="227">
        <v>0</v>
      </c>
      <c r="N461" s="226">
        <v>0</v>
      </c>
      <c r="O461" s="226">
        <v>0</v>
      </c>
      <c r="P461" s="226">
        <v>0</v>
      </c>
      <c r="Q461" s="226">
        <v>0</v>
      </c>
      <c r="R461" s="227">
        <v>0</v>
      </c>
      <c r="S461" s="226">
        <v>0</v>
      </c>
      <c r="T461" s="226">
        <v>0</v>
      </c>
      <c r="U461" s="226">
        <v>4500</v>
      </c>
      <c r="V461" s="226">
        <v>5500</v>
      </c>
      <c r="W461" s="227">
        <v>10000</v>
      </c>
    </row>
    <row r="462" spans="1:23" s="224" customFormat="1" ht="12.75" x14ac:dyDescent="0.2">
      <c r="A462" s="225"/>
      <c r="B462" s="225" t="s">
        <v>825</v>
      </c>
      <c r="C462" s="226"/>
      <c r="D462" s="226">
        <v>3.9954000000000003E-2</v>
      </c>
      <c r="E462" s="226">
        <v>0</v>
      </c>
      <c r="F462" s="226">
        <v>48.827300000000001</v>
      </c>
      <c r="G462" s="226">
        <v>499.69525900000002</v>
      </c>
      <c r="H462" s="227">
        <v>548.56251300000008</v>
      </c>
      <c r="I462" s="226">
        <v>112.570554</v>
      </c>
      <c r="J462" s="226">
        <v>4612.5705539999999</v>
      </c>
      <c r="K462" s="226">
        <v>5615.9476709999999</v>
      </c>
      <c r="L462" s="226">
        <v>115.947671</v>
      </c>
      <c r="M462" s="227">
        <v>10457.03645</v>
      </c>
      <c r="N462" s="226">
        <v>0</v>
      </c>
      <c r="O462" s="226">
        <v>0</v>
      </c>
      <c r="P462" s="226">
        <v>0</v>
      </c>
      <c r="Q462" s="226">
        <v>0</v>
      </c>
      <c r="R462" s="227">
        <v>0</v>
      </c>
      <c r="S462" s="226">
        <v>115.947671</v>
      </c>
      <c r="T462" s="226">
        <v>115.947671</v>
      </c>
      <c r="U462" s="226">
        <v>115.947671</v>
      </c>
      <c r="V462" s="226">
        <v>115.947671</v>
      </c>
      <c r="W462" s="227">
        <v>463.790684</v>
      </c>
    </row>
    <row r="463" spans="1:23" s="224" customFormat="1" ht="12.75" x14ac:dyDescent="0.2">
      <c r="A463" s="225"/>
      <c r="B463" s="225" t="s">
        <v>826</v>
      </c>
      <c r="C463" s="226"/>
      <c r="D463" s="226">
        <v>316.962647</v>
      </c>
      <c r="E463" s="226">
        <v>0</v>
      </c>
      <c r="F463" s="226">
        <v>0</v>
      </c>
      <c r="G463" s="226">
        <v>0</v>
      </c>
      <c r="H463" s="227">
        <v>316.962647</v>
      </c>
      <c r="I463" s="226">
        <v>0</v>
      </c>
      <c r="J463" s="226">
        <v>0</v>
      </c>
      <c r="K463" s="226">
        <v>0</v>
      </c>
      <c r="L463" s="226">
        <v>0</v>
      </c>
      <c r="M463" s="227">
        <v>0</v>
      </c>
      <c r="N463" s="226">
        <v>0</v>
      </c>
      <c r="O463" s="226">
        <v>0</v>
      </c>
      <c r="P463" s="226">
        <v>0</v>
      </c>
      <c r="Q463" s="226">
        <v>0</v>
      </c>
      <c r="R463" s="227">
        <v>0</v>
      </c>
      <c r="S463" s="226">
        <v>0</v>
      </c>
      <c r="T463" s="226">
        <v>0</v>
      </c>
      <c r="U463" s="226">
        <v>0</v>
      </c>
      <c r="V463" s="226">
        <v>0</v>
      </c>
      <c r="W463" s="227">
        <v>0</v>
      </c>
    </row>
    <row r="464" spans="1:23" s="224" customFormat="1" ht="12.75" x14ac:dyDescent="0.2">
      <c r="A464" s="225"/>
      <c r="B464" s="225" t="s">
        <v>827</v>
      </c>
      <c r="C464" s="226"/>
      <c r="D464" s="226">
        <v>0</v>
      </c>
      <c r="E464" s="226">
        <v>0</v>
      </c>
      <c r="F464" s="226">
        <v>0</v>
      </c>
      <c r="G464" s="226">
        <v>1150</v>
      </c>
      <c r="H464" s="227">
        <v>1150</v>
      </c>
      <c r="I464" s="226">
        <v>4000</v>
      </c>
      <c r="J464" s="226">
        <v>0</v>
      </c>
      <c r="K464" s="226">
        <v>0</v>
      </c>
      <c r="L464" s="226">
        <v>0</v>
      </c>
      <c r="M464" s="227">
        <v>4000</v>
      </c>
      <c r="N464" s="226">
        <v>0</v>
      </c>
      <c r="O464" s="226">
        <v>0</v>
      </c>
      <c r="P464" s="226">
        <v>0</v>
      </c>
      <c r="Q464" s="226">
        <v>0</v>
      </c>
      <c r="R464" s="227">
        <v>0</v>
      </c>
      <c r="S464" s="226">
        <v>0</v>
      </c>
      <c r="T464" s="226">
        <v>0</v>
      </c>
      <c r="U464" s="226">
        <v>0</v>
      </c>
      <c r="V464" s="226">
        <v>0</v>
      </c>
      <c r="W464" s="227">
        <v>0</v>
      </c>
    </row>
    <row r="465" spans="1:23" s="224" customFormat="1" ht="12.75" x14ac:dyDescent="0.2">
      <c r="A465" s="225"/>
      <c r="B465" s="225" t="s">
        <v>828</v>
      </c>
      <c r="C465" s="226"/>
      <c r="D465" s="226">
        <v>18525.588299999999</v>
      </c>
      <c r="E465" s="226">
        <v>11631.200505999999</v>
      </c>
      <c r="F465" s="226">
        <v>38887.887436999998</v>
      </c>
      <c r="G465" s="226">
        <v>3909.1266489999998</v>
      </c>
      <c r="H465" s="227">
        <v>72953.802891999992</v>
      </c>
      <c r="I465" s="226">
        <v>0</v>
      </c>
      <c r="J465" s="226">
        <v>0</v>
      </c>
      <c r="K465" s="226">
        <v>0</v>
      </c>
      <c r="L465" s="226">
        <v>0</v>
      </c>
      <c r="M465" s="227">
        <v>0</v>
      </c>
      <c r="N465" s="226">
        <v>0</v>
      </c>
      <c r="O465" s="226">
        <v>0</v>
      </c>
      <c r="P465" s="226">
        <v>0</v>
      </c>
      <c r="Q465" s="226">
        <v>0</v>
      </c>
      <c r="R465" s="227">
        <v>0</v>
      </c>
      <c r="S465" s="226">
        <v>0</v>
      </c>
      <c r="T465" s="226">
        <v>0</v>
      </c>
      <c r="U465" s="226">
        <v>0</v>
      </c>
      <c r="V465" s="226">
        <v>0</v>
      </c>
      <c r="W465" s="227">
        <v>0</v>
      </c>
    </row>
    <row r="466" spans="1:23" s="224" customFormat="1" ht="12.75" x14ac:dyDescent="0.2">
      <c r="A466" s="225"/>
      <c r="B466" s="225" t="s">
        <v>829</v>
      </c>
      <c r="C466" s="226"/>
      <c r="D466" s="226">
        <v>703.86157800000001</v>
      </c>
      <c r="E466" s="226">
        <v>351.76643200000001</v>
      </c>
      <c r="F466" s="226">
        <v>0</v>
      </c>
      <c r="G466" s="226">
        <v>6000</v>
      </c>
      <c r="H466" s="227">
        <v>7055.6280100000004</v>
      </c>
      <c r="I466" s="226">
        <v>15470</v>
      </c>
      <c r="J466" s="226">
        <v>0</v>
      </c>
      <c r="K466" s="226">
        <v>3000</v>
      </c>
      <c r="L466" s="226">
        <v>0</v>
      </c>
      <c r="M466" s="227">
        <v>18470</v>
      </c>
      <c r="N466" s="226">
        <v>0</v>
      </c>
      <c r="O466" s="226">
        <v>0</v>
      </c>
      <c r="P466" s="226">
        <v>0</v>
      </c>
      <c r="Q466" s="226">
        <v>0</v>
      </c>
      <c r="R466" s="227">
        <v>0</v>
      </c>
      <c r="S466" s="226">
        <v>0</v>
      </c>
      <c r="T466" s="226">
        <v>0</v>
      </c>
      <c r="U466" s="226">
        <v>0</v>
      </c>
      <c r="V466" s="226">
        <v>0</v>
      </c>
      <c r="W466" s="227">
        <v>0</v>
      </c>
    </row>
    <row r="467" spans="1:23" s="224" customFormat="1" ht="12.75" x14ac:dyDescent="0.2">
      <c r="A467" s="225"/>
      <c r="B467" s="225" t="s">
        <v>830</v>
      </c>
      <c r="C467" s="226"/>
      <c r="D467" s="226">
        <v>12018.063029000001</v>
      </c>
      <c r="E467" s="226">
        <v>19172.712344</v>
      </c>
      <c r="F467" s="226">
        <v>39850.352421000003</v>
      </c>
      <c r="G467" s="226">
        <v>0</v>
      </c>
      <c r="H467" s="227">
        <v>71041.127794</v>
      </c>
      <c r="I467" s="226">
        <v>0</v>
      </c>
      <c r="J467" s="226">
        <v>2000</v>
      </c>
      <c r="K467" s="226">
        <v>3000</v>
      </c>
      <c r="L467" s="226">
        <v>0</v>
      </c>
      <c r="M467" s="227">
        <v>5000</v>
      </c>
      <c r="N467" s="226">
        <v>0</v>
      </c>
      <c r="O467" s="226">
        <v>0</v>
      </c>
      <c r="P467" s="226">
        <v>0</v>
      </c>
      <c r="Q467" s="226">
        <v>4000</v>
      </c>
      <c r="R467" s="227">
        <v>4000</v>
      </c>
      <c r="S467" s="226">
        <v>0</v>
      </c>
      <c r="T467" s="226">
        <v>0</v>
      </c>
      <c r="U467" s="226">
        <v>0</v>
      </c>
      <c r="V467" s="226">
        <v>0</v>
      </c>
      <c r="W467" s="227">
        <v>0</v>
      </c>
    </row>
    <row r="468" spans="1:23" s="224" customFormat="1" ht="12.75" x14ac:dyDescent="0.2">
      <c r="A468" s="225"/>
      <c r="B468" s="225" t="s">
        <v>831</v>
      </c>
      <c r="C468" s="226"/>
      <c r="D468" s="226">
        <v>0</v>
      </c>
      <c r="E468" s="226">
        <v>0</v>
      </c>
      <c r="F468" s="226">
        <v>0</v>
      </c>
      <c r="G468" s="226">
        <v>0</v>
      </c>
      <c r="H468" s="227">
        <v>0</v>
      </c>
      <c r="I468" s="226">
        <v>0</v>
      </c>
      <c r="J468" s="226">
        <v>3000</v>
      </c>
      <c r="K468" s="226">
        <v>0</v>
      </c>
      <c r="L468" s="226">
        <v>0</v>
      </c>
      <c r="M468" s="227">
        <v>3000</v>
      </c>
      <c r="N468" s="226">
        <v>0</v>
      </c>
      <c r="O468" s="226">
        <v>0</v>
      </c>
      <c r="P468" s="226">
        <v>0</v>
      </c>
      <c r="Q468" s="226">
        <v>2500</v>
      </c>
      <c r="R468" s="227">
        <v>2500</v>
      </c>
      <c r="S468" s="226">
        <v>0</v>
      </c>
      <c r="T468" s="226">
        <v>0</v>
      </c>
      <c r="U468" s="226">
        <v>0</v>
      </c>
      <c r="V468" s="226">
        <v>0</v>
      </c>
      <c r="W468" s="227">
        <v>0</v>
      </c>
    </row>
    <row r="469" spans="1:23" s="224" customFormat="1" ht="12.75" x14ac:dyDescent="0.2">
      <c r="A469" s="225"/>
      <c r="B469" s="225" t="s">
        <v>832</v>
      </c>
      <c r="C469" s="226"/>
      <c r="D469" s="226">
        <v>0</v>
      </c>
      <c r="E469" s="226">
        <v>0</v>
      </c>
      <c r="F469" s="226">
        <v>0</v>
      </c>
      <c r="G469" s="226">
        <v>3000</v>
      </c>
      <c r="H469" s="227">
        <v>3000</v>
      </c>
      <c r="I469" s="226">
        <v>0</v>
      </c>
      <c r="J469" s="226">
        <v>0</v>
      </c>
      <c r="K469" s="226">
        <v>0</v>
      </c>
      <c r="L469" s="226">
        <v>0</v>
      </c>
      <c r="M469" s="227">
        <v>0</v>
      </c>
      <c r="N469" s="226">
        <v>0</v>
      </c>
      <c r="O469" s="226">
        <v>0</v>
      </c>
      <c r="P469" s="226">
        <v>0</v>
      </c>
      <c r="Q469" s="226">
        <v>0</v>
      </c>
      <c r="R469" s="227">
        <v>0</v>
      </c>
      <c r="S469" s="226">
        <v>0</v>
      </c>
      <c r="T469" s="226">
        <v>0</v>
      </c>
      <c r="U469" s="226">
        <v>6000</v>
      </c>
      <c r="V469" s="226">
        <v>3000</v>
      </c>
      <c r="W469" s="227">
        <v>9000</v>
      </c>
    </row>
    <row r="470" spans="1:23" s="224" customFormat="1" ht="12.75" x14ac:dyDescent="0.2">
      <c r="A470" s="225"/>
      <c r="B470" s="225" t="s">
        <v>833</v>
      </c>
      <c r="C470" s="226"/>
      <c r="D470" s="226">
        <v>0</v>
      </c>
      <c r="E470" s="226">
        <v>0</v>
      </c>
      <c r="F470" s="226">
        <v>0</v>
      </c>
      <c r="G470" s="226">
        <v>3609.2918</v>
      </c>
      <c r="H470" s="227">
        <v>3609.2918</v>
      </c>
      <c r="I470" s="226">
        <v>112.570554</v>
      </c>
      <c r="J470" s="226">
        <v>112.570554</v>
      </c>
      <c r="K470" s="226">
        <v>115.947671</v>
      </c>
      <c r="L470" s="226">
        <v>115.947671</v>
      </c>
      <c r="M470" s="227">
        <v>457.03645</v>
      </c>
      <c r="N470" s="226">
        <v>0</v>
      </c>
      <c r="O470" s="226">
        <v>0</v>
      </c>
      <c r="P470" s="226">
        <v>0</v>
      </c>
      <c r="Q470" s="226">
        <v>0</v>
      </c>
      <c r="R470" s="227">
        <v>0</v>
      </c>
      <c r="S470" s="226">
        <v>115.947671</v>
      </c>
      <c r="T470" s="226">
        <v>115.947671</v>
      </c>
      <c r="U470" s="226">
        <v>115.947671</v>
      </c>
      <c r="V470" s="226">
        <v>14115.947671</v>
      </c>
      <c r="W470" s="227">
        <v>14463.790684</v>
      </c>
    </row>
    <row r="471" spans="1:23" s="224" customFormat="1" ht="12.75" x14ac:dyDescent="0.2">
      <c r="A471" s="225"/>
      <c r="B471" s="225" t="s">
        <v>834</v>
      </c>
      <c r="C471" s="226"/>
      <c r="D471" s="226">
        <v>0</v>
      </c>
      <c r="E471" s="226">
        <v>0</v>
      </c>
      <c r="F471" s="226">
        <v>0</v>
      </c>
      <c r="G471" s="226">
        <v>0</v>
      </c>
      <c r="H471" s="227">
        <v>0</v>
      </c>
      <c r="I471" s="226">
        <v>0</v>
      </c>
      <c r="J471" s="226">
        <v>2000</v>
      </c>
      <c r="K471" s="226">
        <v>0</v>
      </c>
      <c r="L471" s="226">
        <v>0</v>
      </c>
      <c r="M471" s="227">
        <v>2000</v>
      </c>
      <c r="N471" s="226">
        <v>0</v>
      </c>
      <c r="O471" s="226">
        <v>2000</v>
      </c>
      <c r="P471" s="226">
        <v>2000</v>
      </c>
      <c r="Q471" s="226">
        <v>0</v>
      </c>
      <c r="R471" s="227">
        <v>4000</v>
      </c>
      <c r="S471" s="226">
        <v>0</v>
      </c>
      <c r="T471" s="226">
        <v>0</v>
      </c>
      <c r="U471" s="226">
        <v>0</v>
      </c>
      <c r="V471" s="226">
        <v>0</v>
      </c>
      <c r="W471" s="227">
        <v>0</v>
      </c>
    </row>
    <row r="472" spans="1:23" s="224" customFormat="1" ht="12.75" x14ac:dyDescent="0.2">
      <c r="A472" s="225"/>
      <c r="B472" s="225" t="s">
        <v>835</v>
      </c>
      <c r="C472" s="226"/>
      <c r="D472" s="226">
        <v>0</v>
      </c>
      <c r="E472" s="226">
        <v>0</v>
      </c>
      <c r="F472" s="226">
        <v>0</v>
      </c>
      <c r="G472" s="226">
        <v>0</v>
      </c>
      <c r="H472" s="227">
        <v>0</v>
      </c>
      <c r="I472" s="226">
        <v>0</v>
      </c>
      <c r="J472" s="226">
        <v>0</v>
      </c>
      <c r="K472" s="226">
        <v>0</v>
      </c>
      <c r="L472" s="226">
        <v>0</v>
      </c>
      <c r="M472" s="227">
        <v>0</v>
      </c>
      <c r="N472" s="226">
        <v>0</v>
      </c>
      <c r="O472" s="226">
        <v>0</v>
      </c>
      <c r="P472" s="226">
        <v>0</v>
      </c>
      <c r="Q472" s="226">
        <v>0</v>
      </c>
      <c r="R472" s="227">
        <v>0</v>
      </c>
      <c r="S472" s="226">
        <v>0</v>
      </c>
      <c r="T472" s="226">
        <v>0</v>
      </c>
      <c r="U472" s="226">
        <v>0</v>
      </c>
      <c r="V472" s="226">
        <v>0</v>
      </c>
      <c r="W472" s="227">
        <v>0</v>
      </c>
    </row>
    <row r="473" spans="1:23" s="224" customFormat="1" ht="12.75" x14ac:dyDescent="0.2">
      <c r="A473" s="225"/>
      <c r="B473" s="225" t="s">
        <v>836</v>
      </c>
      <c r="C473" s="226"/>
      <c r="D473" s="226">
        <v>26077.182004999999</v>
      </c>
      <c r="E473" s="226">
        <v>22987.819339999998</v>
      </c>
      <c r="F473" s="226">
        <v>10661.659147</v>
      </c>
      <c r="G473" s="226">
        <v>34353.045860999999</v>
      </c>
      <c r="H473" s="227">
        <v>94079.706352999987</v>
      </c>
      <c r="I473" s="226">
        <v>0</v>
      </c>
      <c r="J473" s="226">
        <v>0</v>
      </c>
      <c r="K473" s="226">
        <v>0</v>
      </c>
      <c r="L473" s="226">
        <v>0</v>
      </c>
      <c r="M473" s="227">
        <v>0</v>
      </c>
      <c r="N473" s="226">
        <v>0</v>
      </c>
      <c r="O473" s="226">
        <v>0</v>
      </c>
      <c r="P473" s="226">
        <v>0</v>
      </c>
      <c r="Q473" s="226">
        <v>0</v>
      </c>
      <c r="R473" s="227">
        <v>0</v>
      </c>
      <c r="S473" s="226">
        <v>0</v>
      </c>
      <c r="T473" s="226">
        <v>0</v>
      </c>
      <c r="U473" s="226">
        <v>0</v>
      </c>
      <c r="V473" s="226">
        <v>0</v>
      </c>
      <c r="W473" s="227">
        <v>0</v>
      </c>
    </row>
    <row r="474" spans="1:23" s="224" customFormat="1" ht="12.75" x14ac:dyDescent="0.2">
      <c r="A474" s="225"/>
      <c r="B474" s="225" t="s">
        <v>837</v>
      </c>
      <c r="C474" s="226"/>
      <c r="D474" s="226">
        <v>0</v>
      </c>
      <c r="E474" s="226">
        <v>0</v>
      </c>
      <c r="F474" s="226">
        <v>0</v>
      </c>
      <c r="G474" s="226">
        <v>0</v>
      </c>
      <c r="H474" s="227">
        <v>0</v>
      </c>
      <c r="I474" s="226">
        <v>0</v>
      </c>
      <c r="J474" s="226">
        <v>0</v>
      </c>
      <c r="K474" s="226">
        <v>0</v>
      </c>
      <c r="L474" s="226">
        <v>5000</v>
      </c>
      <c r="M474" s="227">
        <v>5000</v>
      </c>
      <c r="N474" s="226">
        <v>0</v>
      </c>
      <c r="O474" s="226">
        <v>0</v>
      </c>
      <c r="P474" s="226">
        <v>0</v>
      </c>
      <c r="Q474" s="226">
        <v>3500</v>
      </c>
      <c r="R474" s="227">
        <v>3500</v>
      </c>
      <c r="S474" s="226">
        <v>0</v>
      </c>
      <c r="T474" s="226">
        <v>0</v>
      </c>
      <c r="U474" s="226">
        <v>0</v>
      </c>
      <c r="V474" s="226">
        <v>4500</v>
      </c>
      <c r="W474" s="227">
        <v>4500</v>
      </c>
    </row>
    <row r="475" spans="1:23" s="224" customFormat="1" ht="12.75" x14ac:dyDescent="0.2">
      <c r="A475" s="225"/>
      <c r="B475" s="225" t="s">
        <v>838</v>
      </c>
      <c r="C475" s="226"/>
      <c r="D475" s="226">
        <v>445.72249399999998</v>
      </c>
      <c r="E475" s="226">
        <v>0</v>
      </c>
      <c r="F475" s="226">
        <v>0</v>
      </c>
      <c r="G475" s="226">
        <v>109.29179999999999</v>
      </c>
      <c r="H475" s="227">
        <v>555.01429399999995</v>
      </c>
      <c r="I475" s="226">
        <v>112.570554</v>
      </c>
      <c r="J475" s="226">
        <v>112.570554</v>
      </c>
      <c r="K475" s="226">
        <v>3115.9476709999999</v>
      </c>
      <c r="L475" s="226">
        <v>2115.9476709999999</v>
      </c>
      <c r="M475" s="227">
        <v>5457.0364499999996</v>
      </c>
      <c r="N475" s="226">
        <v>3000</v>
      </c>
      <c r="O475" s="226">
        <v>0</v>
      </c>
      <c r="P475" s="226">
        <v>0</v>
      </c>
      <c r="Q475" s="226">
        <v>0</v>
      </c>
      <c r="R475" s="227">
        <v>3000</v>
      </c>
      <c r="S475" s="226">
        <v>115.947671</v>
      </c>
      <c r="T475" s="226">
        <v>115.947671</v>
      </c>
      <c r="U475" s="226">
        <v>115.947671</v>
      </c>
      <c r="V475" s="226">
        <v>115.947671</v>
      </c>
      <c r="W475" s="227">
        <v>463.790684</v>
      </c>
    </row>
    <row r="476" spans="1:23" s="224" customFormat="1" ht="12.75" x14ac:dyDescent="0.2">
      <c r="A476" s="225"/>
      <c r="B476" s="225" t="s">
        <v>839</v>
      </c>
      <c r="C476" s="226"/>
      <c r="D476" s="226">
        <v>0</v>
      </c>
      <c r="E476" s="226">
        <v>0</v>
      </c>
      <c r="F476" s="226">
        <v>0</v>
      </c>
      <c r="G476" s="226">
        <v>0</v>
      </c>
      <c r="H476" s="227">
        <v>0</v>
      </c>
      <c r="I476" s="226">
        <v>0</v>
      </c>
      <c r="J476" s="226">
        <v>0</v>
      </c>
      <c r="K476" s="226">
        <v>3000</v>
      </c>
      <c r="L476" s="226">
        <v>0</v>
      </c>
      <c r="M476" s="227">
        <v>3000</v>
      </c>
      <c r="N476" s="226">
        <v>0</v>
      </c>
      <c r="O476" s="226">
        <v>3000</v>
      </c>
      <c r="P476" s="226">
        <v>0</v>
      </c>
      <c r="Q476" s="226">
        <v>3000</v>
      </c>
      <c r="R476" s="227">
        <v>6000</v>
      </c>
      <c r="S476" s="226">
        <v>4000</v>
      </c>
      <c r="T476" s="226">
        <v>3000</v>
      </c>
      <c r="U476" s="226">
        <v>0</v>
      </c>
      <c r="V476" s="226">
        <v>0</v>
      </c>
      <c r="W476" s="227">
        <v>7000</v>
      </c>
    </row>
    <row r="477" spans="1:23" s="224" customFormat="1" ht="12.75" x14ac:dyDescent="0.2">
      <c r="A477" s="225"/>
      <c r="B477" s="225" t="s">
        <v>840</v>
      </c>
      <c r="C477" s="226"/>
      <c r="D477" s="226">
        <v>0</v>
      </c>
      <c r="E477" s="226">
        <v>0</v>
      </c>
      <c r="F477" s="226">
        <v>0</v>
      </c>
      <c r="G477" s="226">
        <v>0</v>
      </c>
      <c r="H477" s="227">
        <v>0</v>
      </c>
      <c r="I477" s="226">
        <v>0</v>
      </c>
      <c r="J477" s="226">
        <v>0</v>
      </c>
      <c r="K477" s="226">
        <v>0</v>
      </c>
      <c r="L477" s="226">
        <v>0</v>
      </c>
      <c r="M477" s="227">
        <v>0</v>
      </c>
      <c r="N477" s="226">
        <v>0</v>
      </c>
      <c r="O477" s="226">
        <v>0</v>
      </c>
      <c r="P477" s="226">
        <v>0</v>
      </c>
      <c r="Q477" s="226">
        <v>0</v>
      </c>
      <c r="R477" s="227">
        <v>0</v>
      </c>
      <c r="S477" s="226">
        <v>0</v>
      </c>
      <c r="T477" s="226">
        <v>0</v>
      </c>
      <c r="U477" s="226">
        <v>3000</v>
      </c>
      <c r="V477" s="226">
        <v>4000</v>
      </c>
      <c r="W477" s="227">
        <v>7000</v>
      </c>
    </row>
    <row r="478" spans="1:23" s="224" customFormat="1" ht="12.75" x14ac:dyDescent="0.2">
      <c r="A478" s="225"/>
      <c r="B478" s="225" t="s">
        <v>606</v>
      </c>
      <c r="C478" s="226"/>
      <c r="D478" s="226">
        <v>0</v>
      </c>
      <c r="E478" s="226">
        <v>0</v>
      </c>
      <c r="F478" s="226">
        <v>0</v>
      </c>
      <c r="G478" s="226">
        <v>0</v>
      </c>
      <c r="H478" s="227">
        <v>0</v>
      </c>
      <c r="I478" s="226">
        <v>0</v>
      </c>
      <c r="J478" s="226">
        <v>0</v>
      </c>
      <c r="K478" s="226">
        <v>0</v>
      </c>
      <c r="L478" s="226">
        <v>0</v>
      </c>
      <c r="M478" s="227">
        <v>0</v>
      </c>
      <c r="N478" s="226">
        <v>0</v>
      </c>
      <c r="O478" s="226">
        <v>0</v>
      </c>
      <c r="P478" s="226">
        <v>0</v>
      </c>
      <c r="Q478" s="226">
        <v>0</v>
      </c>
      <c r="R478" s="227">
        <v>0</v>
      </c>
      <c r="S478" s="226">
        <v>0</v>
      </c>
      <c r="T478" s="226">
        <v>0</v>
      </c>
      <c r="U478" s="226">
        <v>0</v>
      </c>
      <c r="V478" s="226">
        <v>0</v>
      </c>
      <c r="W478" s="227">
        <v>0</v>
      </c>
    </row>
    <row r="479" spans="1:23" s="224" customFormat="1" ht="12.75" x14ac:dyDescent="0.2">
      <c r="A479" s="225"/>
      <c r="B479" s="225" t="s">
        <v>841</v>
      </c>
      <c r="C479" s="226"/>
      <c r="D479" s="226">
        <v>0</v>
      </c>
      <c r="E479" s="226">
        <v>0</v>
      </c>
      <c r="F479" s="226">
        <v>0</v>
      </c>
      <c r="G479" s="226">
        <v>109.29179999999999</v>
      </c>
      <c r="H479" s="227">
        <v>109.29179999999999</v>
      </c>
      <c r="I479" s="226">
        <v>112.570554</v>
      </c>
      <c r="J479" s="226">
        <v>3112.5705539999999</v>
      </c>
      <c r="K479" s="226">
        <v>115.947671</v>
      </c>
      <c r="L479" s="226">
        <v>115.947671</v>
      </c>
      <c r="M479" s="227">
        <v>3457.0364499999996</v>
      </c>
      <c r="N479" s="226">
        <v>0</v>
      </c>
      <c r="O479" s="226">
        <v>0</v>
      </c>
      <c r="P479" s="226">
        <v>0</v>
      </c>
      <c r="Q479" s="226">
        <v>14000</v>
      </c>
      <c r="R479" s="227">
        <v>14000</v>
      </c>
      <c r="S479" s="226">
        <v>16115.947671</v>
      </c>
      <c r="T479" s="226">
        <v>115.947671</v>
      </c>
      <c r="U479" s="226">
        <v>115.947671</v>
      </c>
      <c r="V479" s="226">
        <v>4115.9476709999999</v>
      </c>
      <c r="W479" s="227">
        <v>20463.790684</v>
      </c>
    </row>
    <row r="480" spans="1:23" s="224" customFormat="1" ht="12.75" x14ac:dyDescent="0.2">
      <c r="A480" s="225"/>
      <c r="B480" s="225" t="s">
        <v>842</v>
      </c>
      <c r="C480" s="226"/>
      <c r="D480" s="226">
        <v>0</v>
      </c>
      <c r="E480" s="226">
        <v>0</v>
      </c>
      <c r="F480" s="226">
        <v>0</v>
      </c>
      <c r="G480" s="226">
        <v>0</v>
      </c>
      <c r="H480" s="227">
        <v>0</v>
      </c>
      <c r="I480" s="226">
        <v>0</v>
      </c>
      <c r="J480" s="226">
        <v>0</v>
      </c>
      <c r="K480" s="226">
        <v>0</v>
      </c>
      <c r="L480" s="226">
        <v>0</v>
      </c>
      <c r="M480" s="227">
        <v>0</v>
      </c>
      <c r="N480" s="226">
        <v>0</v>
      </c>
      <c r="O480" s="226">
        <v>0</v>
      </c>
      <c r="P480" s="226">
        <v>0</v>
      </c>
      <c r="Q480" s="226">
        <v>0</v>
      </c>
      <c r="R480" s="227">
        <v>0</v>
      </c>
      <c r="S480" s="226">
        <v>0</v>
      </c>
      <c r="T480" s="226">
        <v>0</v>
      </c>
      <c r="U480" s="226">
        <v>3000</v>
      </c>
      <c r="V480" s="226">
        <v>4000</v>
      </c>
      <c r="W480" s="227">
        <v>7000</v>
      </c>
    </row>
    <row r="481" spans="1:23" s="224" customFormat="1" ht="12.75" x14ac:dyDescent="0.2">
      <c r="A481" s="225"/>
      <c r="B481" s="225" t="s">
        <v>843</v>
      </c>
      <c r="C481" s="226"/>
      <c r="D481" s="226">
        <v>0</v>
      </c>
      <c r="E481" s="226">
        <v>0</v>
      </c>
      <c r="F481" s="226">
        <v>0</v>
      </c>
      <c r="G481" s="226">
        <v>0</v>
      </c>
      <c r="H481" s="227">
        <v>0</v>
      </c>
      <c r="I481" s="226">
        <v>0</v>
      </c>
      <c r="J481" s="226">
        <v>0</v>
      </c>
      <c r="K481" s="226">
        <v>0</v>
      </c>
      <c r="L481" s="226">
        <v>0</v>
      </c>
      <c r="M481" s="227">
        <v>0</v>
      </c>
      <c r="N481" s="226">
        <v>0</v>
      </c>
      <c r="O481" s="226">
        <v>0</v>
      </c>
      <c r="P481" s="226">
        <v>0</v>
      </c>
      <c r="Q481" s="226">
        <v>0</v>
      </c>
      <c r="R481" s="227">
        <v>0</v>
      </c>
      <c r="S481" s="226">
        <v>0</v>
      </c>
      <c r="T481" s="226">
        <v>0</v>
      </c>
      <c r="U481" s="226">
        <v>0</v>
      </c>
      <c r="V481" s="226">
        <v>4000</v>
      </c>
      <c r="W481" s="227">
        <v>4000</v>
      </c>
    </row>
    <row r="482" spans="1:23" s="224" customFormat="1" ht="12.75" x14ac:dyDescent="0.2">
      <c r="A482" s="225"/>
      <c r="B482" s="225" t="s">
        <v>844</v>
      </c>
      <c r="C482" s="226"/>
      <c r="D482" s="226">
        <v>0</v>
      </c>
      <c r="E482" s="226">
        <v>0</v>
      </c>
      <c r="F482" s="226">
        <v>0</v>
      </c>
      <c r="G482" s="226">
        <v>0</v>
      </c>
      <c r="H482" s="227">
        <v>0</v>
      </c>
      <c r="I482" s="226">
        <v>0</v>
      </c>
      <c r="J482" s="226">
        <v>0</v>
      </c>
      <c r="K482" s="226">
        <v>0</v>
      </c>
      <c r="L482" s="226">
        <v>0</v>
      </c>
      <c r="M482" s="227">
        <v>0</v>
      </c>
      <c r="N482" s="226">
        <v>4000</v>
      </c>
      <c r="O482" s="226">
        <v>0</v>
      </c>
      <c r="P482" s="226">
        <v>4000</v>
      </c>
      <c r="Q482" s="226">
        <v>4000</v>
      </c>
      <c r="R482" s="227">
        <v>12000</v>
      </c>
      <c r="S482" s="226">
        <v>0</v>
      </c>
      <c r="T482" s="226">
        <v>0</v>
      </c>
      <c r="U482" s="226">
        <v>0</v>
      </c>
      <c r="V482" s="226">
        <v>0</v>
      </c>
      <c r="W482" s="227">
        <v>0</v>
      </c>
    </row>
    <row r="483" spans="1:23" s="224" customFormat="1" ht="12.75" x14ac:dyDescent="0.2">
      <c r="A483" s="225"/>
      <c r="B483" s="225" t="s">
        <v>845</v>
      </c>
      <c r="C483" s="226"/>
      <c r="D483" s="226">
        <v>104491.841313</v>
      </c>
      <c r="E483" s="226">
        <v>96109.735998000004</v>
      </c>
      <c r="F483" s="226">
        <v>80401.620744999993</v>
      </c>
      <c r="G483" s="226">
        <v>91363.589154000001</v>
      </c>
      <c r="H483" s="227">
        <v>372366.78720999998</v>
      </c>
      <c r="I483" s="226">
        <v>36183.101777999997</v>
      </c>
      <c r="J483" s="226">
        <v>0</v>
      </c>
      <c r="K483" s="226">
        <v>0</v>
      </c>
      <c r="L483" s="226">
        <v>0</v>
      </c>
      <c r="M483" s="227">
        <v>36183.101777999997</v>
      </c>
      <c r="N483" s="226">
        <v>0</v>
      </c>
      <c r="O483" s="226">
        <v>0</v>
      </c>
      <c r="P483" s="226">
        <v>0</v>
      </c>
      <c r="Q483" s="226">
        <v>0</v>
      </c>
      <c r="R483" s="227">
        <v>0</v>
      </c>
      <c r="S483" s="226">
        <v>0</v>
      </c>
      <c r="T483" s="226">
        <v>0</v>
      </c>
      <c r="U483" s="226">
        <v>0</v>
      </c>
      <c r="V483" s="226">
        <v>0</v>
      </c>
      <c r="W483" s="227">
        <v>0</v>
      </c>
    </row>
    <row r="484" spans="1:23" s="224" customFormat="1" ht="12.75" x14ac:dyDescent="0.2">
      <c r="A484" s="225"/>
      <c r="B484" s="225" t="s">
        <v>846</v>
      </c>
      <c r="C484" s="226"/>
      <c r="D484" s="226">
        <v>0</v>
      </c>
      <c r="E484" s="226">
        <v>0</v>
      </c>
      <c r="F484" s="226">
        <v>0</v>
      </c>
      <c r="G484" s="226">
        <v>0</v>
      </c>
      <c r="H484" s="227">
        <v>0</v>
      </c>
      <c r="I484" s="226">
        <v>0</v>
      </c>
      <c r="J484" s="226">
        <v>0</v>
      </c>
      <c r="K484" s="226">
        <v>0</v>
      </c>
      <c r="L484" s="226">
        <v>0</v>
      </c>
      <c r="M484" s="227">
        <v>0</v>
      </c>
      <c r="N484" s="226">
        <v>0</v>
      </c>
      <c r="O484" s="226">
        <v>0</v>
      </c>
      <c r="P484" s="226">
        <v>0</v>
      </c>
      <c r="Q484" s="226">
        <v>0</v>
      </c>
      <c r="R484" s="227">
        <v>0</v>
      </c>
      <c r="S484" s="226">
        <v>0</v>
      </c>
      <c r="T484" s="226">
        <v>0</v>
      </c>
      <c r="U484" s="226">
        <v>0</v>
      </c>
      <c r="V484" s="226">
        <v>0</v>
      </c>
      <c r="W484" s="227">
        <v>0</v>
      </c>
    </row>
    <row r="485" spans="1:23" s="224" customFormat="1" ht="12.75" x14ac:dyDescent="0.2">
      <c r="A485" s="225"/>
      <c r="B485" s="225" t="s">
        <v>847</v>
      </c>
      <c r="C485" s="226"/>
      <c r="D485" s="226">
        <v>0</v>
      </c>
      <c r="E485" s="226">
        <v>0</v>
      </c>
      <c r="F485" s="226">
        <v>0</v>
      </c>
      <c r="G485" s="226">
        <v>0</v>
      </c>
      <c r="H485" s="227">
        <v>0</v>
      </c>
      <c r="I485" s="226">
        <v>0</v>
      </c>
      <c r="J485" s="226">
        <v>0</v>
      </c>
      <c r="K485" s="226">
        <v>0</v>
      </c>
      <c r="L485" s="226">
        <v>0</v>
      </c>
      <c r="M485" s="227">
        <v>0</v>
      </c>
      <c r="N485" s="226">
        <v>0</v>
      </c>
      <c r="O485" s="226">
        <v>0</v>
      </c>
      <c r="P485" s="226">
        <v>0</v>
      </c>
      <c r="Q485" s="226">
        <v>0</v>
      </c>
      <c r="R485" s="227">
        <v>0</v>
      </c>
      <c r="S485" s="226">
        <v>0</v>
      </c>
      <c r="T485" s="226">
        <v>0</v>
      </c>
      <c r="U485" s="226">
        <v>0</v>
      </c>
      <c r="V485" s="226">
        <v>3000</v>
      </c>
      <c r="W485" s="227">
        <v>3000</v>
      </c>
    </row>
    <row r="486" spans="1:23" s="224" customFormat="1" ht="12.75" x14ac:dyDescent="0.2">
      <c r="A486" s="225"/>
      <c r="B486" s="225" t="s">
        <v>848</v>
      </c>
      <c r="C486" s="226"/>
      <c r="D486" s="226">
        <v>0</v>
      </c>
      <c r="E486" s="226">
        <v>0</v>
      </c>
      <c r="F486" s="226">
        <v>0</v>
      </c>
      <c r="G486" s="226">
        <v>0</v>
      </c>
      <c r="H486" s="227">
        <v>0</v>
      </c>
      <c r="I486" s="226">
        <v>0</v>
      </c>
      <c r="J486" s="226">
        <v>0</v>
      </c>
      <c r="K486" s="226">
        <v>8000</v>
      </c>
      <c r="L486" s="226">
        <v>0</v>
      </c>
      <c r="M486" s="227">
        <v>8000</v>
      </c>
      <c r="N486" s="226">
        <v>3000</v>
      </c>
      <c r="O486" s="226">
        <v>2000</v>
      </c>
      <c r="P486" s="226">
        <v>0</v>
      </c>
      <c r="Q486" s="226">
        <v>0</v>
      </c>
      <c r="R486" s="227">
        <v>5000</v>
      </c>
      <c r="S486" s="226">
        <v>0</v>
      </c>
      <c r="T486" s="226">
        <v>0</v>
      </c>
      <c r="U486" s="226">
        <v>0</v>
      </c>
      <c r="V486" s="226">
        <v>0</v>
      </c>
      <c r="W486" s="227">
        <v>0</v>
      </c>
    </row>
    <row r="487" spans="1:23" s="224" customFormat="1" ht="12.75" x14ac:dyDescent="0.2">
      <c r="A487" s="225"/>
      <c r="B487" s="225" t="s">
        <v>849</v>
      </c>
      <c r="C487" s="226"/>
      <c r="D487" s="226">
        <v>39093.976397999999</v>
      </c>
      <c r="E487" s="226">
        <v>62217.776901999998</v>
      </c>
      <c r="F487" s="226">
        <v>53244.133134999996</v>
      </c>
      <c r="G487" s="226">
        <v>8727.2195929999998</v>
      </c>
      <c r="H487" s="227">
        <v>163283.10602799998</v>
      </c>
      <c r="I487" s="226">
        <v>8725.0896859999993</v>
      </c>
      <c r="J487" s="226">
        <v>8724.3417719999998</v>
      </c>
      <c r="K487" s="226">
        <v>0</v>
      </c>
      <c r="L487" s="226">
        <v>0</v>
      </c>
      <c r="M487" s="227">
        <v>17449.431457999999</v>
      </c>
      <c r="N487" s="226">
        <v>0</v>
      </c>
      <c r="O487" s="226">
        <v>0</v>
      </c>
      <c r="P487" s="226">
        <v>0</v>
      </c>
      <c r="Q487" s="226">
        <v>0</v>
      </c>
      <c r="R487" s="227">
        <v>0</v>
      </c>
      <c r="S487" s="226">
        <v>0</v>
      </c>
      <c r="T487" s="226">
        <v>0</v>
      </c>
      <c r="U487" s="226">
        <v>0</v>
      </c>
      <c r="V487" s="226">
        <v>0</v>
      </c>
      <c r="W487" s="227">
        <v>0</v>
      </c>
    </row>
    <row r="488" spans="1:23" s="224" customFormat="1" ht="12.75" x14ac:dyDescent="0.2">
      <c r="A488" s="225"/>
      <c r="B488" s="225" t="s">
        <v>850</v>
      </c>
      <c r="C488" s="226"/>
      <c r="D488" s="226">
        <v>0</v>
      </c>
      <c r="E488" s="226">
        <v>0</v>
      </c>
      <c r="F488" s="226">
        <v>0</v>
      </c>
      <c r="G488" s="226">
        <v>0</v>
      </c>
      <c r="H488" s="227">
        <v>0</v>
      </c>
      <c r="I488" s="226">
        <v>0</v>
      </c>
      <c r="J488" s="226">
        <v>3000</v>
      </c>
      <c r="K488" s="226">
        <v>5000</v>
      </c>
      <c r="L488" s="226">
        <v>0</v>
      </c>
      <c r="M488" s="227">
        <v>8000</v>
      </c>
      <c r="N488" s="226">
        <v>0</v>
      </c>
      <c r="O488" s="226">
        <v>0</v>
      </c>
      <c r="P488" s="226">
        <v>0</v>
      </c>
      <c r="Q488" s="226">
        <v>0</v>
      </c>
      <c r="R488" s="227">
        <v>0</v>
      </c>
      <c r="S488" s="226">
        <v>0</v>
      </c>
      <c r="T488" s="226">
        <v>0</v>
      </c>
      <c r="U488" s="226">
        <v>0</v>
      </c>
      <c r="V488" s="226">
        <v>0</v>
      </c>
      <c r="W488" s="227">
        <v>0</v>
      </c>
    </row>
    <row r="489" spans="1:23" s="224" customFormat="1" ht="12.75" x14ac:dyDescent="0.2">
      <c r="A489" s="225"/>
      <c r="B489" s="225" t="s">
        <v>851</v>
      </c>
      <c r="C489" s="226"/>
      <c r="D489" s="226">
        <v>0</v>
      </c>
      <c r="E489" s="226">
        <v>0</v>
      </c>
      <c r="F489" s="226">
        <v>0</v>
      </c>
      <c r="G489" s="226">
        <v>0</v>
      </c>
      <c r="H489" s="227">
        <v>0</v>
      </c>
      <c r="I489" s="226">
        <v>0</v>
      </c>
      <c r="J489" s="226">
        <v>0</v>
      </c>
      <c r="K489" s="226">
        <v>3000</v>
      </c>
      <c r="L489" s="226">
        <v>0</v>
      </c>
      <c r="M489" s="227">
        <v>3000</v>
      </c>
      <c r="N489" s="226">
        <v>0</v>
      </c>
      <c r="O489" s="226">
        <v>0</v>
      </c>
      <c r="P489" s="226">
        <v>0</v>
      </c>
      <c r="Q489" s="226">
        <v>0</v>
      </c>
      <c r="R489" s="227">
        <v>0</v>
      </c>
      <c r="S489" s="226">
        <v>0</v>
      </c>
      <c r="T489" s="226">
        <v>0</v>
      </c>
      <c r="U489" s="226">
        <v>0</v>
      </c>
      <c r="V489" s="226">
        <v>0</v>
      </c>
      <c r="W489" s="227">
        <v>0</v>
      </c>
    </row>
    <row r="490" spans="1:23" s="224" customFormat="1" ht="12.75" x14ac:dyDescent="0.2">
      <c r="A490" s="225"/>
      <c r="B490" s="225" t="s">
        <v>852</v>
      </c>
      <c r="C490" s="226"/>
      <c r="D490" s="226">
        <v>0</v>
      </c>
      <c r="E490" s="226">
        <v>0</v>
      </c>
      <c r="F490" s="226">
        <v>0</v>
      </c>
      <c r="G490" s="226">
        <v>0</v>
      </c>
      <c r="H490" s="227">
        <v>0</v>
      </c>
      <c r="I490" s="226">
        <v>0</v>
      </c>
      <c r="J490" s="226">
        <v>0</v>
      </c>
      <c r="K490" s="226">
        <v>0</v>
      </c>
      <c r="L490" s="226">
        <v>0</v>
      </c>
      <c r="M490" s="227">
        <v>0</v>
      </c>
      <c r="N490" s="226">
        <v>0</v>
      </c>
      <c r="O490" s="226">
        <v>0</v>
      </c>
      <c r="P490" s="226">
        <v>0</v>
      </c>
      <c r="Q490" s="226">
        <v>0</v>
      </c>
      <c r="R490" s="227">
        <v>0</v>
      </c>
      <c r="S490" s="226">
        <v>0</v>
      </c>
      <c r="T490" s="226">
        <v>0</v>
      </c>
      <c r="U490" s="226">
        <v>0</v>
      </c>
      <c r="V490" s="226">
        <v>0</v>
      </c>
      <c r="W490" s="227">
        <v>0</v>
      </c>
    </row>
    <row r="491" spans="1:23" s="224" customFormat="1" ht="12.75" x14ac:dyDescent="0.2">
      <c r="A491" s="225"/>
      <c r="B491" s="225" t="s">
        <v>853</v>
      </c>
      <c r="C491" s="226"/>
      <c r="D491" s="226">
        <v>0</v>
      </c>
      <c r="E491" s="226">
        <v>0</v>
      </c>
      <c r="F491" s="226">
        <v>0</v>
      </c>
      <c r="G491" s="226">
        <v>0</v>
      </c>
      <c r="H491" s="227">
        <v>0</v>
      </c>
      <c r="I491" s="226">
        <v>3000</v>
      </c>
      <c r="J491" s="226">
        <v>2000</v>
      </c>
      <c r="K491" s="226">
        <v>0</v>
      </c>
      <c r="L491" s="226">
        <v>0</v>
      </c>
      <c r="M491" s="227">
        <v>5000</v>
      </c>
      <c r="N491" s="226">
        <v>0</v>
      </c>
      <c r="O491" s="226">
        <v>0</v>
      </c>
      <c r="P491" s="226">
        <v>8000</v>
      </c>
      <c r="Q491" s="226">
        <v>0</v>
      </c>
      <c r="R491" s="227">
        <v>8000</v>
      </c>
      <c r="S491" s="226">
        <v>0</v>
      </c>
      <c r="T491" s="226">
        <v>0</v>
      </c>
      <c r="U491" s="226">
        <v>0</v>
      </c>
      <c r="V491" s="226">
        <v>0</v>
      </c>
      <c r="W491" s="227">
        <v>0</v>
      </c>
    </row>
    <row r="492" spans="1:23" s="224" customFormat="1" ht="12.75" x14ac:dyDescent="0.2">
      <c r="A492" s="225"/>
      <c r="B492" s="225" t="s">
        <v>854</v>
      </c>
      <c r="C492" s="226"/>
      <c r="D492" s="226">
        <v>1186.6477460000001</v>
      </c>
      <c r="E492" s="226">
        <v>14193.227091000001</v>
      </c>
      <c r="F492" s="226">
        <v>28094.483779999999</v>
      </c>
      <c r="G492" s="226">
        <v>121.33372300000001</v>
      </c>
      <c r="H492" s="227">
        <v>43595.692340000001</v>
      </c>
      <c r="I492" s="226">
        <v>0</v>
      </c>
      <c r="J492" s="226">
        <v>0</v>
      </c>
      <c r="K492" s="226">
        <v>0</v>
      </c>
      <c r="L492" s="226">
        <v>5000</v>
      </c>
      <c r="M492" s="227">
        <v>5000</v>
      </c>
      <c r="N492" s="226">
        <v>8000</v>
      </c>
      <c r="O492" s="226">
        <v>2000</v>
      </c>
      <c r="P492" s="226">
        <v>0</v>
      </c>
      <c r="Q492" s="226">
        <v>4000</v>
      </c>
      <c r="R492" s="227">
        <v>14000</v>
      </c>
      <c r="S492" s="226">
        <v>0</v>
      </c>
      <c r="T492" s="226">
        <v>0</v>
      </c>
      <c r="U492" s="226">
        <v>0</v>
      </c>
      <c r="V492" s="226">
        <v>0</v>
      </c>
      <c r="W492" s="227">
        <v>0</v>
      </c>
    </row>
    <row r="493" spans="1:23" s="224" customFormat="1" ht="12.75" x14ac:dyDescent="0.2">
      <c r="A493" s="225"/>
      <c r="B493" s="225" t="s">
        <v>855</v>
      </c>
      <c r="C493" s="226"/>
      <c r="D493" s="226">
        <v>0</v>
      </c>
      <c r="E493" s="226">
        <v>0</v>
      </c>
      <c r="F493" s="226">
        <v>0</v>
      </c>
      <c r="G493" s="226">
        <v>0</v>
      </c>
      <c r="H493" s="227">
        <v>0</v>
      </c>
      <c r="I493" s="226">
        <v>1500</v>
      </c>
      <c r="J493" s="226">
        <v>3500</v>
      </c>
      <c r="K493" s="226">
        <v>0</v>
      </c>
      <c r="L493" s="226">
        <v>0</v>
      </c>
      <c r="M493" s="227">
        <v>5000</v>
      </c>
      <c r="N493" s="226">
        <v>0</v>
      </c>
      <c r="O493" s="226">
        <v>0</v>
      </c>
      <c r="P493" s="226">
        <v>0</v>
      </c>
      <c r="Q493" s="226">
        <v>8000</v>
      </c>
      <c r="R493" s="227">
        <v>8000</v>
      </c>
      <c r="S493" s="226">
        <v>0</v>
      </c>
      <c r="T493" s="226">
        <v>0</v>
      </c>
      <c r="U493" s="226">
        <v>0</v>
      </c>
      <c r="V493" s="226">
        <v>0</v>
      </c>
      <c r="W493" s="227">
        <v>0</v>
      </c>
    </row>
    <row r="494" spans="1:23" s="224" customFormat="1" ht="12.75" x14ac:dyDescent="0.2">
      <c r="A494" s="225"/>
      <c r="B494" s="225" t="s">
        <v>856</v>
      </c>
      <c r="C494" s="226"/>
      <c r="D494" s="226">
        <v>0</v>
      </c>
      <c r="E494" s="226">
        <v>0</v>
      </c>
      <c r="F494" s="226">
        <v>0</v>
      </c>
      <c r="G494" s="226">
        <v>0</v>
      </c>
      <c r="H494" s="227">
        <v>0</v>
      </c>
      <c r="I494" s="226">
        <v>0</v>
      </c>
      <c r="J494" s="226">
        <v>3000</v>
      </c>
      <c r="K494" s="226">
        <v>0</v>
      </c>
      <c r="L494" s="226">
        <v>8000</v>
      </c>
      <c r="M494" s="227">
        <v>11000</v>
      </c>
      <c r="N494" s="226">
        <v>3000</v>
      </c>
      <c r="O494" s="226">
        <v>0</v>
      </c>
      <c r="P494" s="226">
        <v>0</v>
      </c>
      <c r="Q494" s="226">
        <v>4000</v>
      </c>
      <c r="R494" s="227">
        <v>7000</v>
      </c>
      <c r="S494" s="226">
        <v>0</v>
      </c>
      <c r="T494" s="226">
        <v>0</v>
      </c>
      <c r="U494" s="226">
        <v>0</v>
      </c>
      <c r="V494" s="226">
        <v>0</v>
      </c>
      <c r="W494" s="227">
        <v>0</v>
      </c>
    </row>
    <row r="495" spans="1:23" s="224" customFormat="1" ht="12.75" x14ac:dyDescent="0.2">
      <c r="A495" s="225"/>
      <c r="B495" s="225" t="s">
        <v>857</v>
      </c>
      <c r="C495" s="226"/>
      <c r="D495" s="226">
        <v>0</v>
      </c>
      <c r="E495" s="226">
        <v>0</v>
      </c>
      <c r="F495" s="226">
        <v>0</v>
      </c>
      <c r="G495" s="226">
        <v>196</v>
      </c>
      <c r="H495" s="227">
        <v>196</v>
      </c>
      <c r="I495" s="226">
        <v>0</v>
      </c>
      <c r="J495" s="226">
        <v>0</v>
      </c>
      <c r="K495" s="226">
        <v>2000</v>
      </c>
      <c r="L495" s="226">
        <v>3000</v>
      </c>
      <c r="M495" s="227">
        <v>5000</v>
      </c>
      <c r="N495" s="226">
        <v>0</v>
      </c>
      <c r="O495" s="226">
        <v>3000</v>
      </c>
      <c r="P495" s="226">
        <v>0</v>
      </c>
      <c r="Q495" s="226">
        <v>4500</v>
      </c>
      <c r="R495" s="227">
        <v>7500</v>
      </c>
      <c r="S495" s="226">
        <v>5000</v>
      </c>
      <c r="T495" s="226">
        <v>3500</v>
      </c>
      <c r="U495" s="226">
        <v>0</v>
      </c>
      <c r="V495" s="226">
        <v>0</v>
      </c>
      <c r="W495" s="227">
        <v>8500</v>
      </c>
    </row>
    <row r="496" spans="1:23" s="224" customFormat="1" ht="12.75" x14ac:dyDescent="0.2">
      <c r="A496" s="225"/>
      <c r="B496" s="225" t="s">
        <v>858</v>
      </c>
      <c r="C496" s="226"/>
      <c r="D496" s="226">
        <v>344.59047700000002</v>
      </c>
      <c r="E496" s="226">
        <v>0</v>
      </c>
      <c r="F496" s="226">
        <v>0</v>
      </c>
      <c r="G496" s="226">
        <v>0</v>
      </c>
      <c r="H496" s="227">
        <v>344.59047700000002</v>
      </c>
      <c r="I496" s="226">
        <v>0</v>
      </c>
      <c r="J496" s="226">
        <v>0</v>
      </c>
      <c r="K496" s="226">
        <v>0</v>
      </c>
      <c r="L496" s="226">
        <v>0</v>
      </c>
      <c r="M496" s="227">
        <v>0</v>
      </c>
      <c r="N496" s="226">
        <v>0</v>
      </c>
      <c r="O496" s="226">
        <v>0</v>
      </c>
      <c r="P496" s="226">
        <v>0</v>
      </c>
      <c r="Q496" s="226">
        <v>7000</v>
      </c>
      <c r="R496" s="227">
        <v>7000</v>
      </c>
      <c r="S496" s="226">
        <v>6500</v>
      </c>
      <c r="T496" s="226">
        <v>0</v>
      </c>
      <c r="U496" s="226">
        <v>0</v>
      </c>
      <c r="V496" s="226">
        <v>0</v>
      </c>
      <c r="W496" s="227">
        <v>6500</v>
      </c>
    </row>
    <row r="497" spans="1:24" s="224" customFormat="1" ht="12.75" x14ac:dyDescent="0.2">
      <c r="A497" s="225"/>
      <c r="B497" s="225" t="s">
        <v>859</v>
      </c>
      <c r="C497" s="226"/>
      <c r="D497" s="226">
        <v>0</v>
      </c>
      <c r="E497" s="226">
        <v>0</v>
      </c>
      <c r="F497" s="226">
        <v>0</v>
      </c>
      <c r="G497" s="226">
        <v>0</v>
      </c>
      <c r="H497" s="227">
        <v>0</v>
      </c>
      <c r="I497" s="226">
        <v>0</v>
      </c>
      <c r="J497" s="226">
        <v>2000</v>
      </c>
      <c r="K497" s="226">
        <v>3000</v>
      </c>
      <c r="L497" s="226">
        <v>0</v>
      </c>
      <c r="M497" s="227">
        <v>5000</v>
      </c>
      <c r="N497" s="226">
        <v>0</v>
      </c>
      <c r="O497" s="226">
        <v>0</v>
      </c>
      <c r="P497" s="226">
        <v>0</v>
      </c>
      <c r="Q497" s="226">
        <v>0</v>
      </c>
      <c r="R497" s="227">
        <v>0</v>
      </c>
      <c r="S497" s="226">
        <v>0</v>
      </c>
      <c r="T497" s="226">
        <v>0</v>
      </c>
      <c r="U497" s="226">
        <v>0</v>
      </c>
      <c r="V497" s="226">
        <v>0</v>
      </c>
      <c r="W497" s="227">
        <v>0</v>
      </c>
    </row>
    <row r="498" spans="1:24" s="224" customFormat="1" ht="12.75" x14ac:dyDescent="0.2">
      <c r="A498" s="225"/>
      <c r="B498" s="225" t="s">
        <v>860</v>
      </c>
      <c r="C498" s="226"/>
      <c r="D498" s="226">
        <v>0</v>
      </c>
      <c r="E498" s="226">
        <v>0</v>
      </c>
      <c r="F498" s="226">
        <v>0</v>
      </c>
      <c r="G498" s="226">
        <v>6000</v>
      </c>
      <c r="H498" s="227">
        <v>6000</v>
      </c>
      <c r="I498" s="226">
        <v>7150</v>
      </c>
      <c r="J498" s="226">
        <v>3000</v>
      </c>
      <c r="K498" s="226">
        <v>3000</v>
      </c>
      <c r="L498" s="226">
        <v>8500</v>
      </c>
      <c r="M498" s="227">
        <v>21650</v>
      </c>
      <c r="N498" s="226">
        <v>3500</v>
      </c>
      <c r="O498" s="226">
        <v>0</v>
      </c>
      <c r="P498" s="226">
        <v>0</v>
      </c>
      <c r="Q498" s="226">
        <v>0</v>
      </c>
      <c r="R498" s="227">
        <v>3500</v>
      </c>
      <c r="S498" s="226">
        <v>0</v>
      </c>
      <c r="T498" s="226">
        <v>0</v>
      </c>
      <c r="U498" s="226">
        <v>0</v>
      </c>
      <c r="V498" s="226">
        <v>0</v>
      </c>
      <c r="W498" s="227">
        <v>0</v>
      </c>
    </row>
    <row r="499" spans="1:24" s="224" customFormat="1" ht="12.75" x14ac:dyDescent="0.2">
      <c r="A499" s="225"/>
      <c r="B499" s="225" t="s">
        <v>861</v>
      </c>
      <c r="C499" s="226"/>
      <c r="D499" s="226">
        <v>11519.442010000001</v>
      </c>
      <c r="E499" s="226">
        <v>9725.292668</v>
      </c>
      <c r="F499" s="226">
        <v>0</v>
      </c>
      <c r="G499" s="226">
        <v>0</v>
      </c>
      <c r="H499" s="227">
        <v>21244.734678000001</v>
      </c>
      <c r="I499" s="226">
        <v>0</v>
      </c>
      <c r="J499" s="226">
        <v>0</v>
      </c>
      <c r="K499" s="226">
        <v>0</v>
      </c>
      <c r="L499" s="226">
        <v>0</v>
      </c>
      <c r="M499" s="227">
        <v>0</v>
      </c>
      <c r="N499" s="226">
        <v>0</v>
      </c>
      <c r="O499" s="226">
        <v>0</v>
      </c>
      <c r="P499" s="226">
        <v>0</v>
      </c>
      <c r="Q499" s="226">
        <v>0</v>
      </c>
      <c r="R499" s="227">
        <v>0</v>
      </c>
      <c r="S499" s="226">
        <v>0</v>
      </c>
      <c r="T499" s="226">
        <v>0</v>
      </c>
      <c r="U499" s="226">
        <v>0</v>
      </c>
      <c r="V499" s="226">
        <v>0</v>
      </c>
      <c r="W499" s="227">
        <v>0</v>
      </c>
    </row>
    <row r="500" spans="1:24" s="224" customFormat="1" ht="12.75" x14ac:dyDescent="0.2">
      <c r="A500" s="225"/>
      <c r="B500" s="225" t="s">
        <v>862</v>
      </c>
      <c r="C500" s="226"/>
      <c r="D500" s="226">
        <v>0</v>
      </c>
      <c r="E500" s="226">
        <v>0</v>
      </c>
      <c r="F500" s="226">
        <v>0</v>
      </c>
      <c r="G500" s="226">
        <v>0</v>
      </c>
      <c r="H500" s="227">
        <v>0</v>
      </c>
      <c r="I500" s="226">
        <v>0</v>
      </c>
      <c r="J500" s="226">
        <v>0</v>
      </c>
      <c r="K500" s="226">
        <v>0</v>
      </c>
      <c r="L500" s="226">
        <v>0</v>
      </c>
      <c r="M500" s="227">
        <v>0</v>
      </c>
      <c r="N500" s="226">
        <v>0</v>
      </c>
      <c r="O500" s="226">
        <v>0</v>
      </c>
      <c r="P500" s="226">
        <v>0</v>
      </c>
      <c r="Q500" s="226">
        <v>0</v>
      </c>
      <c r="R500" s="227">
        <v>0</v>
      </c>
      <c r="S500" s="226">
        <v>0</v>
      </c>
      <c r="T500" s="226">
        <v>0</v>
      </c>
      <c r="U500" s="226">
        <v>0</v>
      </c>
      <c r="V500" s="226">
        <v>0</v>
      </c>
      <c r="W500" s="227">
        <v>0</v>
      </c>
    </row>
    <row r="501" spans="1:24" s="224" customFormat="1" ht="12.75" x14ac:dyDescent="0.2">
      <c r="A501" s="225"/>
      <c r="B501" s="225" t="s">
        <v>863</v>
      </c>
      <c r="C501" s="226"/>
      <c r="D501" s="226">
        <v>0</v>
      </c>
      <c r="E501" s="226">
        <v>0</v>
      </c>
      <c r="F501" s="226">
        <v>0</v>
      </c>
      <c r="G501" s="226">
        <v>0</v>
      </c>
      <c r="H501" s="227">
        <v>0</v>
      </c>
      <c r="I501" s="226">
        <v>0</v>
      </c>
      <c r="J501" s="226">
        <v>0</v>
      </c>
      <c r="K501" s="226">
        <v>0</v>
      </c>
      <c r="L501" s="226">
        <v>18000</v>
      </c>
      <c r="M501" s="227">
        <v>18000</v>
      </c>
      <c r="N501" s="226">
        <v>9000</v>
      </c>
      <c r="O501" s="226">
        <v>0</v>
      </c>
      <c r="P501" s="226">
        <v>4000</v>
      </c>
      <c r="Q501" s="226">
        <v>0</v>
      </c>
      <c r="R501" s="227">
        <v>13000</v>
      </c>
      <c r="S501" s="226">
        <v>0</v>
      </c>
      <c r="T501" s="226">
        <v>0</v>
      </c>
      <c r="U501" s="226">
        <v>0</v>
      </c>
      <c r="V501" s="226">
        <v>0</v>
      </c>
      <c r="W501" s="227">
        <v>0</v>
      </c>
    </row>
    <row r="502" spans="1:24" s="224" customFormat="1" ht="12.75" x14ac:dyDescent="0.2">
      <c r="A502" s="225"/>
      <c r="B502" s="225" t="s">
        <v>864</v>
      </c>
      <c r="C502" s="226"/>
      <c r="D502" s="226">
        <v>0</v>
      </c>
      <c r="E502" s="226">
        <v>0</v>
      </c>
      <c r="F502" s="226">
        <v>0</v>
      </c>
      <c r="G502" s="226">
        <v>0</v>
      </c>
      <c r="H502" s="227">
        <v>0</v>
      </c>
      <c r="I502" s="226">
        <v>0</v>
      </c>
      <c r="J502" s="226">
        <v>0</v>
      </c>
      <c r="K502" s="226">
        <v>0</v>
      </c>
      <c r="L502" s="226">
        <v>3500</v>
      </c>
      <c r="M502" s="227">
        <v>3500</v>
      </c>
      <c r="N502" s="226">
        <v>2500</v>
      </c>
      <c r="O502" s="226">
        <v>0</v>
      </c>
      <c r="P502" s="226">
        <v>0</v>
      </c>
      <c r="Q502" s="226">
        <v>0</v>
      </c>
      <c r="R502" s="227">
        <v>2500</v>
      </c>
      <c r="S502" s="226">
        <v>0</v>
      </c>
      <c r="T502" s="226">
        <v>0</v>
      </c>
      <c r="U502" s="226">
        <v>0</v>
      </c>
      <c r="V502" s="226">
        <v>0</v>
      </c>
      <c r="W502" s="227">
        <v>0</v>
      </c>
    </row>
    <row r="503" spans="1:24" s="224" customFormat="1" ht="12.75" x14ac:dyDescent="0.2">
      <c r="A503" s="225"/>
      <c r="B503" s="225" t="s">
        <v>865</v>
      </c>
      <c r="C503" s="226"/>
      <c r="D503" s="226">
        <v>0</v>
      </c>
      <c r="E503" s="226">
        <v>0</v>
      </c>
      <c r="F503" s="226">
        <v>0</v>
      </c>
      <c r="G503" s="226">
        <v>0</v>
      </c>
      <c r="H503" s="227">
        <v>0</v>
      </c>
      <c r="I503" s="226">
        <v>0</v>
      </c>
      <c r="J503" s="226">
        <v>0</v>
      </c>
      <c r="K503" s="226">
        <v>3000</v>
      </c>
      <c r="L503" s="226">
        <v>0</v>
      </c>
      <c r="M503" s="227">
        <v>3000</v>
      </c>
      <c r="N503" s="226">
        <v>7500</v>
      </c>
      <c r="O503" s="226">
        <v>7500</v>
      </c>
      <c r="P503" s="226">
        <v>0</v>
      </c>
      <c r="Q503" s="226">
        <v>0</v>
      </c>
      <c r="R503" s="227">
        <v>15000</v>
      </c>
      <c r="S503" s="226">
        <v>0</v>
      </c>
      <c r="T503" s="226">
        <v>0</v>
      </c>
      <c r="U503" s="226">
        <v>0</v>
      </c>
      <c r="V503" s="226">
        <v>0</v>
      </c>
      <c r="W503" s="227">
        <v>0</v>
      </c>
    </row>
    <row r="504" spans="1:24" s="224" customFormat="1" ht="12.75" x14ac:dyDescent="0.2">
      <c r="A504" s="225"/>
      <c r="B504" s="225" t="s">
        <v>866</v>
      </c>
      <c r="C504" s="226"/>
      <c r="D504" s="226">
        <v>0</v>
      </c>
      <c r="E504" s="226">
        <v>0</v>
      </c>
      <c r="F504" s="226">
        <v>0</v>
      </c>
      <c r="G504" s="226">
        <v>0</v>
      </c>
      <c r="H504" s="227">
        <v>0</v>
      </c>
      <c r="I504" s="226">
        <v>0</v>
      </c>
      <c r="J504" s="226">
        <v>0</v>
      </c>
      <c r="K504" s="226">
        <v>0</v>
      </c>
      <c r="L504" s="226">
        <v>0</v>
      </c>
      <c r="M504" s="227">
        <v>0</v>
      </c>
      <c r="N504" s="226">
        <v>0</v>
      </c>
      <c r="O504" s="226">
        <v>0</v>
      </c>
      <c r="P504" s="226">
        <v>0</v>
      </c>
      <c r="Q504" s="226">
        <v>0</v>
      </c>
      <c r="R504" s="227">
        <v>0</v>
      </c>
      <c r="S504" s="226">
        <v>0</v>
      </c>
      <c r="T504" s="226">
        <v>0</v>
      </c>
      <c r="U504" s="226">
        <v>0</v>
      </c>
      <c r="V504" s="226">
        <v>0</v>
      </c>
      <c r="W504" s="227">
        <v>0</v>
      </c>
    </row>
    <row r="505" spans="1:24" s="224" customFormat="1" ht="12.75" x14ac:dyDescent="0.2">
      <c r="A505" s="225"/>
      <c r="B505" s="225" t="s">
        <v>867</v>
      </c>
      <c r="C505" s="226"/>
      <c r="D505" s="226">
        <v>0</v>
      </c>
      <c r="E505" s="226">
        <v>0</v>
      </c>
      <c r="F505" s="226">
        <v>0</v>
      </c>
      <c r="G505" s="226">
        <v>0</v>
      </c>
      <c r="H505" s="227">
        <v>0</v>
      </c>
      <c r="I505" s="226">
        <v>0</v>
      </c>
      <c r="J505" s="226">
        <v>0</v>
      </c>
      <c r="K505" s="226">
        <v>0</v>
      </c>
      <c r="L505" s="226">
        <v>0</v>
      </c>
      <c r="M505" s="227">
        <v>0</v>
      </c>
      <c r="N505" s="226">
        <v>0</v>
      </c>
      <c r="O505" s="226">
        <v>0</v>
      </c>
      <c r="P505" s="226">
        <v>0</v>
      </c>
      <c r="Q505" s="226">
        <v>0</v>
      </c>
      <c r="R505" s="227">
        <v>0</v>
      </c>
      <c r="S505" s="226">
        <v>0</v>
      </c>
      <c r="T505" s="226">
        <v>0</v>
      </c>
      <c r="U505" s="226">
        <v>0</v>
      </c>
      <c r="V505" s="226">
        <v>0</v>
      </c>
      <c r="W505" s="227">
        <v>0</v>
      </c>
    </row>
    <row r="506" spans="1:24" s="224" customFormat="1" ht="12.75" x14ac:dyDescent="0.2">
      <c r="A506" s="225"/>
      <c r="B506" s="225" t="s">
        <v>868</v>
      </c>
      <c r="C506" s="226"/>
      <c r="D506" s="226">
        <v>884.12692300000003</v>
      </c>
      <c r="E506" s="226">
        <v>0</v>
      </c>
      <c r="F506" s="226">
        <v>0</v>
      </c>
      <c r="G506" s="226">
        <v>0</v>
      </c>
      <c r="H506" s="227">
        <v>884.12692300000003</v>
      </c>
      <c r="I506" s="226">
        <v>0</v>
      </c>
      <c r="J506" s="226">
        <v>0</v>
      </c>
      <c r="K506" s="226">
        <v>0</v>
      </c>
      <c r="L506" s="226">
        <v>0</v>
      </c>
      <c r="M506" s="227">
        <v>0</v>
      </c>
      <c r="N506" s="226">
        <v>0</v>
      </c>
      <c r="O506" s="226">
        <v>3500</v>
      </c>
      <c r="P506" s="226">
        <v>11500</v>
      </c>
      <c r="Q506" s="226">
        <v>0</v>
      </c>
      <c r="R506" s="227">
        <v>15000</v>
      </c>
      <c r="S506" s="226">
        <v>0</v>
      </c>
      <c r="T506" s="226">
        <v>0</v>
      </c>
      <c r="U506" s="226">
        <v>0</v>
      </c>
      <c r="V506" s="226">
        <v>0</v>
      </c>
      <c r="W506" s="227">
        <v>0</v>
      </c>
    </row>
    <row r="507" spans="1:24" s="224" customFormat="1" ht="12.75" x14ac:dyDescent="0.2">
      <c r="A507" s="228"/>
      <c r="B507" s="225" t="s">
        <v>869</v>
      </c>
      <c r="C507" s="226"/>
      <c r="D507" s="226">
        <v>0</v>
      </c>
      <c r="E507" s="226">
        <v>0</v>
      </c>
      <c r="F507" s="226">
        <v>0</v>
      </c>
      <c r="G507" s="226">
        <v>0</v>
      </c>
      <c r="H507" s="227">
        <v>0</v>
      </c>
      <c r="I507" s="226">
        <v>0</v>
      </c>
      <c r="J507" s="226">
        <v>0</v>
      </c>
      <c r="K507" s="226">
        <v>0</v>
      </c>
      <c r="L507" s="226">
        <v>0</v>
      </c>
      <c r="M507" s="227"/>
      <c r="N507" s="226">
        <v>0</v>
      </c>
      <c r="O507" s="226">
        <v>0</v>
      </c>
      <c r="P507" s="226">
        <v>0</v>
      </c>
      <c r="Q507" s="226">
        <v>0</v>
      </c>
      <c r="R507" s="227"/>
      <c r="S507" s="226">
        <v>0</v>
      </c>
      <c r="T507" s="226">
        <v>0</v>
      </c>
      <c r="U507" s="226">
        <v>0</v>
      </c>
      <c r="V507" s="226">
        <v>0</v>
      </c>
      <c r="W507" s="227"/>
    </row>
    <row r="508" spans="1:24" s="224" customFormat="1" ht="12.75" x14ac:dyDescent="0.2">
      <c r="A508" s="229"/>
      <c r="B508" s="230" t="s">
        <v>870</v>
      </c>
      <c r="C508" s="231"/>
      <c r="D508" s="231">
        <v>0</v>
      </c>
      <c r="E508" s="231">
        <v>0</v>
      </c>
      <c r="F508" s="231">
        <v>0</v>
      </c>
      <c r="G508" s="231">
        <v>0</v>
      </c>
      <c r="H508" s="232"/>
      <c r="I508" s="231">
        <v>0</v>
      </c>
      <c r="J508" s="231">
        <v>0</v>
      </c>
      <c r="K508" s="231">
        <v>0</v>
      </c>
      <c r="L508" s="231">
        <v>0</v>
      </c>
      <c r="M508" s="232"/>
      <c r="N508" s="231">
        <v>0</v>
      </c>
      <c r="O508" s="231">
        <v>0</v>
      </c>
      <c r="P508" s="231">
        <v>3500</v>
      </c>
      <c r="Q508" s="231">
        <v>3500</v>
      </c>
      <c r="R508" s="232"/>
      <c r="S508" s="231">
        <v>0</v>
      </c>
      <c r="T508" s="231">
        <v>0</v>
      </c>
      <c r="U508" s="231">
        <v>0</v>
      </c>
      <c r="V508" s="231">
        <v>0</v>
      </c>
      <c r="W508" s="232"/>
    </row>
    <row r="509" spans="1:24" s="187" customFormat="1" ht="24.95" customHeight="1" x14ac:dyDescent="0.2">
      <c r="A509" s="303" t="s">
        <v>871</v>
      </c>
      <c r="B509" s="304"/>
      <c r="C509" s="301"/>
      <c r="D509" s="301">
        <f>SUM(D510:D581)</f>
        <v>29234.271281000001</v>
      </c>
      <c r="E509" s="301">
        <f>SUM(E510:E581)</f>
        <v>83103.23741799999</v>
      </c>
      <c r="F509" s="301">
        <f>SUM(F510:F581)</f>
        <v>62596.686434999981</v>
      </c>
      <c r="G509" s="301">
        <f>SUM(G510:G581)</f>
        <v>53022.052183400017</v>
      </c>
      <c r="H509" s="304">
        <f>SUM(D509:G509)</f>
        <v>227956.2473174</v>
      </c>
      <c r="I509" s="301">
        <f>SUM(I510:I581)</f>
        <v>458306.22393099987</v>
      </c>
      <c r="J509" s="301">
        <f>SUM(J510:J581)</f>
        <v>364450.43226300011</v>
      </c>
      <c r="K509" s="301">
        <f>SUM(K510:K581)</f>
        <v>376183.94522099989</v>
      </c>
      <c r="L509" s="301">
        <f>SUM(L510:L581)</f>
        <v>424343.64519100013</v>
      </c>
      <c r="M509" s="304">
        <f>SUM(I509:L509)</f>
        <v>1623284.246606</v>
      </c>
      <c r="N509" s="301">
        <f>SUM(N510:N581)</f>
        <v>437725.31126800017</v>
      </c>
      <c r="O509" s="301">
        <f>SUM(O510:O581)</f>
        <v>394525.31126800011</v>
      </c>
      <c r="P509" s="301">
        <f>SUM(P510:P581)</f>
        <v>394525.31126800011</v>
      </c>
      <c r="Q509" s="301">
        <f>SUM(Q510:Q581)</f>
        <v>431605.31126800011</v>
      </c>
      <c r="R509" s="304">
        <f>SUM(N509:Q509)</f>
        <v>1658381.2450720007</v>
      </c>
      <c r="S509" s="301">
        <f>SUM(S510:S581)</f>
        <v>437725.31126800017</v>
      </c>
      <c r="T509" s="301">
        <f>SUM(T510:T581)</f>
        <v>394525.31126800011</v>
      </c>
      <c r="U509" s="301">
        <f>SUM(U510:U581)</f>
        <v>394525.31126800011</v>
      </c>
      <c r="V509" s="301">
        <f>SUM(V510:V581)</f>
        <v>432717.71126800036</v>
      </c>
      <c r="W509" s="304">
        <f>SUM(S509:V509)</f>
        <v>1659493.6450720008</v>
      </c>
      <c r="X509" s="186">
        <v>42976</v>
      </c>
    </row>
    <row r="510" spans="1:24" s="224" customFormat="1" ht="12.75" x14ac:dyDescent="0.2">
      <c r="A510" s="221"/>
      <c r="B510" s="221" t="s">
        <v>800</v>
      </c>
      <c r="C510" s="222"/>
      <c r="D510" s="222">
        <v>0</v>
      </c>
      <c r="E510" s="222">
        <v>0</v>
      </c>
      <c r="F510" s="222">
        <v>932.70811700000002</v>
      </c>
      <c r="G510" s="222">
        <v>114.743253</v>
      </c>
      <c r="H510" s="223">
        <v>1047.45137</v>
      </c>
      <c r="I510" s="222">
        <v>5370.8498</v>
      </c>
      <c r="J510" s="222">
        <v>4913.9752939999998</v>
      </c>
      <c r="K510" s="222">
        <v>5061.3945530000001</v>
      </c>
      <c r="L510" s="222">
        <v>5713.23639</v>
      </c>
      <c r="M510" s="223">
        <v>21059.456037</v>
      </c>
      <c r="N510" s="222">
        <v>5813.23639</v>
      </c>
      <c r="O510" s="222">
        <v>5213.23639</v>
      </c>
      <c r="P510" s="222">
        <v>5213.23639</v>
      </c>
      <c r="Q510" s="222">
        <v>5728.23639</v>
      </c>
      <c r="R510" s="223">
        <v>21967.94556</v>
      </c>
      <c r="S510" s="222">
        <v>5813.23639</v>
      </c>
      <c r="T510" s="222">
        <v>5213.23639</v>
      </c>
      <c r="U510" s="222">
        <v>5213.23639</v>
      </c>
      <c r="V510" s="222">
        <v>5743.6863899999998</v>
      </c>
      <c r="W510" s="223">
        <v>21983.395560000001</v>
      </c>
    </row>
    <row r="511" spans="1:24" s="224" customFormat="1" ht="12.75" x14ac:dyDescent="0.2">
      <c r="A511" s="225"/>
      <c r="B511" s="225" t="s">
        <v>801</v>
      </c>
      <c r="C511" s="226"/>
      <c r="D511" s="226">
        <v>0</v>
      </c>
      <c r="E511" s="226">
        <v>6822.3310849999998</v>
      </c>
      <c r="F511" s="226">
        <v>0</v>
      </c>
      <c r="G511" s="226">
        <v>109.485355</v>
      </c>
      <c r="H511" s="227">
        <v>6931.8164399999996</v>
      </c>
      <c r="I511" s="226">
        <v>5401.3758719999996</v>
      </c>
      <c r="J511" s="226">
        <v>4945.4171480000005</v>
      </c>
      <c r="K511" s="226">
        <v>5093.7796619999999</v>
      </c>
      <c r="L511" s="226">
        <v>5746.5930520000002</v>
      </c>
      <c r="M511" s="227">
        <v>21187.165734000002</v>
      </c>
      <c r="N511" s="226">
        <v>5846.5930520000002</v>
      </c>
      <c r="O511" s="226">
        <v>5246.5930520000002</v>
      </c>
      <c r="P511" s="226">
        <v>5246.5930520000002</v>
      </c>
      <c r="Q511" s="226">
        <v>5761.5930520000002</v>
      </c>
      <c r="R511" s="227">
        <v>22101.372208000001</v>
      </c>
      <c r="S511" s="226">
        <v>5846.5930520000002</v>
      </c>
      <c r="T511" s="226">
        <v>5246.5930520000002</v>
      </c>
      <c r="U511" s="226">
        <v>5246.5930520000002</v>
      </c>
      <c r="V511" s="226">
        <v>5777.043052</v>
      </c>
      <c r="W511" s="227">
        <v>22116.822208000001</v>
      </c>
    </row>
    <row r="512" spans="1:24" s="224" customFormat="1" ht="12.75" x14ac:dyDescent="0.2">
      <c r="A512" s="225"/>
      <c r="B512" s="225" t="s">
        <v>802</v>
      </c>
      <c r="C512" s="226"/>
      <c r="D512" s="226">
        <v>0</v>
      </c>
      <c r="E512" s="226">
        <v>0</v>
      </c>
      <c r="F512" s="226">
        <v>1844.8928410000001</v>
      </c>
      <c r="G512" s="226">
        <v>757.41303200000004</v>
      </c>
      <c r="H512" s="227">
        <v>2602.3058730000002</v>
      </c>
      <c r="I512" s="226">
        <v>6127.6340499999997</v>
      </c>
      <c r="J512" s="226">
        <v>5693.4630719999996</v>
      </c>
      <c r="K512" s="226">
        <v>5864.2669640000004</v>
      </c>
      <c r="L512" s="226">
        <v>6540.1949729999997</v>
      </c>
      <c r="M512" s="227">
        <v>24225.559058999999</v>
      </c>
      <c r="N512" s="226">
        <v>6640.1949729999997</v>
      </c>
      <c r="O512" s="226">
        <v>6040.1949729999997</v>
      </c>
      <c r="P512" s="226">
        <v>6040.1949729999997</v>
      </c>
      <c r="Q512" s="226">
        <v>6555.1949729999997</v>
      </c>
      <c r="R512" s="227">
        <v>25275.779891999999</v>
      </c>
      <c r="S512" s="226">
        <v>6640.1949729999997</v>
      </c>
      <c r="T512" s="226">
        <v>6040.1949729999997</v>
      </c>
      <c r="U512" s="226">
        <v>6040.1949729999997</v>
      </c>
      <c r="V512" s="226">
        <v>6570.6449730000004</v>
      </c>
      <c r="W512" s="227">
        <v>25291.229892000003</v>
      </c>
    </row>
    <row r="513" spans="1:23" s="224" customFormat="1" ht="12.75" x14ac:dyDescent="0.2">
      <c r="A513" s="225"/>
      <c r="B513" s="225" t="s">
        <v>803</v>
      </c>
      <c r="C513" s="226"/>
      <c r="D513" s="226">
        <v>0</v>
      </c>
      <c r="E513" s="226">
        <v>1442.350907</v>
      </c>
      <c r="F513" s="226">
        <v>5920.5546240000003</v>
      </c>
      <c r="G513" s="226">
        <v>1821.6628459999999</v>
      </c>
      <c r="H513" s="227">
        <v>9184.5683769999996</v>
      </c>
      <c r="I513" s="226">
        <v>4719.0427289999998</v>
      </c>
      <c r="J513" s="226">
        <v>4242.6140109999997</v>
      </c>
      <c r="K513" s="226">
        <v>4369.8924310000002</v>
      </c>
      <c r="L513" s="226">
        <v>5875.1708040000003</v>
      </c>
      <c r="M513" s="227">
        <v>19206.719975</v>
      </c>
      <c r="N513" s="226">
        <v>6400.629261</v>
      </c>
      <c r="O513" s="226">
        <v>5800.629261</v>
      </c>
      <c r="P513" s="226">
        <v>5800.629261</v>
      </c>
      <c r="Q513" s="226">
        <v>6315.629261</v>
      </c>
      <c r="R513" s="227">
        <v>24317.517044</v>
      </c>
      <c r="S513" s="226">
        <v>6400.629261</v>
      </c>
      <c r="T513" s="226">
        <v>5800.629261</v>
      </c>
      <c r="U513" s="226">
        <v>5800.629261</v>
      </c>
      <c r="V513" s="226">
        <v>6331.0792609999999</v>
      </c>
      <c r="W513" s="227">
        <v>24332.967043999997</v>
      </c>
    </row>
    <row r="514" spans="1:23" s="224" customFormat="1" ht="12.75" x14ac:dyDescent="0.2">
      <c r="A514" s="225"/>
      <c r="B514" s="225" t="s">
        <v>804</v>
      </c>
      <c r="C514" s="226"/>
      <c r="D514" s="226">
        <v>0</v>
      </c>
      <c r="E514" s="226">
        <v>3499.9999769999999</v>
      </c>
      <c r="F514" s="226">
        <v>215.925927</v>
      </c>
      <c r="G514" s="226">
        <v>2620.6486580000001</v>
      </c>
      <c r="H514" s="227">
        <v>6336.5745619999998</v>
      </c>
      <c r="I514" s="226">
        <v>4712.3310760000004</v>
      </c>
      <c r="J514" s="226">
        <v>4235.7010090000003</v>
      </c>
      <c r="K514" s="226">
        <v>5162.7720390000004</v>
      </c>
      <c r="L514" s="226">
        <v>5817.6552000000001</v>
      </c>
      <c r="M514" s="227">
        <v>19928.459324000003</v>
      </c>
      <c r="N514" s="226">
        <v>5967.8368</v>
      </c>
      <c r="O514" s="226">
        <v>5367.8368</v>
      </c>
      <c r="P514" s="226">
        <v>5367.8368</v>
      </c>
      <c r="Q514" s="226">
        <v>5882.8368</v>
      </c>
      <c r="R514" s="227">
        <v>22586.3472</v>
      </c>
      <c r="S514" s="226">
        <v>5967.8368</v>
      </c>
      <c r="T514" s="226">
        <v>5367.8368</v>
      </c>
      <c r="U514" s="226">
        <v>5367.8368</v>
      </c>
      <c r="V514" s="226">
        <v>5898.2867999999999</v>
      </c>
      <c r="W514" s="227">
        <v>22601.797200000001</v>
      </c>
    </row>
    <row r="515" spans="1:23" s="224" customFormat="1" ht="12.75" x14ac:dyDescent="0.2">
      <c r="A515" s="225"/>
      <c r="B515" s="225" t="s">
        <v>805</v>
      </c>
      <c r="C515" s="226"/>
      <c r="D515" s="226">
        <v>0</v>
      </c>
      <c r="E515" s="226">
        <v>0</v>
      </c>
      <c r="F515" s="226">
        <v>0</v>
      </c>
      <c r="G515" s="226">
        <v>63.423488999999996</v>
      </c>
      <c r="H515" s="227">
        <v>63.423488999999996</v>
      </c>
      <c r="I515" s="226">
        <v>5453.9321499999996</v>
      </c>
      <c r="J515" s="226">
        <v>4999.550115</v>
      </c>
      <c r="K515" s="226">
        <v>5149.5366180000001</v>
      </c>
      <c r="L515" s="226">
        <v>5804.0227169999998</v>
      </c>
      <c r="M515" s="227">
        <v>21407.041599999997</v>
      </c>
      <c r="N515" s="226">
        <v>5904.0227169999998</v>
      </c>
      <c r="O515" s="226">
        <v>5304.0227169999998</v>
      </c>
      <c r="P515" s="226">
        <v>5304.0227169999998</v>
      </c>
      <c r="Q515" s="226">
        <v>5819.0227169999998</v>
      </c>
      <c r="R515" s="227">
        <v>22331.090867999999</v>
      </c>
      <c r="S515" s="226">
        <v>5904.0227169999998</v>
      </c>
      <c r="T515" s="226">
        <v>5304.0227169999998</v>
      </c>
      <c r="U515" s="226">
        <v>5304.0227169999998</v>
      </c>
      <c r="V515" s="226">
        <v>5834.4727169999996</v>
      </c>
      <c r="W515" s="227">
        <v>22346.540868</v>
      </c>
    </row>
    <row r="516" spans="1:23" s="224" customFormat="1" ht="12.75" x14ac:dyDescent="0.2">
      <c r="A516" s="225"/>
      <c r="B516" s="225" t="s">
        <v>806</v>
      </c>
      <c r="C516" s="226"/>
      <c r="D516" s="226">
        <v>0</v>
      </c>
      <c r="E516" s="226">
        <v>4946.5098710000002</v>
      </c>
      <c r="F516" s="226">
        <v>0</v>
      </c>
      <c r="G516" s="226">
        <v>313.96596299999999</v>
      </c>
      <c r="H516" s="227">
        <v>5260.4758339999998</v>
      </c>
      <c r="I516" s="226">
        <v>5512.3310760000004</v>
      </c>
      <c r="J516" s="226">
        <v>5059.7010090000003</v>
      </c>
      <c r="K516" s="226">
        <v>5211.4920389999997</v>
      </c>
      <c r="L516" s="226">
        <v>5867.8368</v>
      </c>
      <c r="M516" s="227">
        <v>21651.360924000001</v>
      </c>
      <c r="N516" s="226">
        <v>5967.8368</v>
      </c>
      <c r="O516" s="226">
        <v>5367.8368</v>
      </c>
      <c r="P516" s="226">
        <v>5367.8368</v>
      </c>
      <c r="Q516" s="226">
        <v>5882.8368</v>
      </c>
      <c r="R516" s="227">
        <v>22586.3472</v>
      </c>
      <c r="S516" s="226">
        <v>5967.8368</v>
      </c>
      <c r="T516" s="226">
        <v>5367.8368</v>
      </c>
      <c r="U516" s="226">
        <v>5367.8368</v>
      </c>
      <c r="V516" s="226">
        <v>5898.2867999999999</v>
      </c>
      <c r="W516" s="227">
        <v>22601.797200000001</v>
      </c>
    </row>
    <row r="517" spans="1:23" s="224" customFormat="1" ht="12.75" x14ac:dyDescent="0.2">
      <c r="A517" s="225"/>
      <c r="B517" s="225" t="s">
        <v>807</v>
      </c>
      <c r="C517" s="226"/>
      <c r="D517" s="226">
        <v>0</v>
      </c>
      <c r="E517" s="226">
        <v>6161.281105</v>
      </c>
      <c r="F517" s="226">
        <v>274.99139000000002</v>
      </c>
      <c r="G517" s="226">
        <v>6981.2801909999998</v>
      </c>
      <c r="H517" s="227">
        <v>13417.552685999999</v>
      </c>
      <c r="I517" s="226">
        <v>6088.3618310000002</v>
      </c>
      <c r="J517" s="226">
        <v>5653.012686</v>
      </c>
      <c r="K517" s="226">
        <v>5822.603067</v>
      </c>
      <c r="L517" s="226">
        <v>6497.2811590000001</v>
      </c>
      <c r="M517" s="227">
        <v>24061.258742999999</v>
      </c>
      <c r="N517" s="226">
        <v>6597.2811590000001</v>
      </c>
      <c r="O517" s="226">
        <v>5997.2811590000001</v>
      </c>
      <c r="P517" s="226">
        <v>5997.2811590000001</v>
      </c>
      <c r="Q517" s="226">
        <v>6512.2811590000001</v>
      </c>
      <c r="R517" s="227">
        <v>25104.124636</v>
      </c>
      <c r="S517" s="226">
        <v>6597.2811590000001</v>
      </c>
      <c r="T517" s="226">
        <v>5997.2811590000001</v>
      </c>
      <c r="U517" s="226">
        <v>5997.2811590000001</v>
      </c>
      <c r="V517" s="226">
        <v>6527.7311589999999</v>
      </c>
      <c r="W517" s="227">
        <v>25119.574636000001</v>
      </c>
    </row>
    <row r="518" spans="1:23" s="224" customFormat="1" ht="12.75" x14ac:dyDescent="0.2">
      <c r="A518" s="225"/>
      <c r="B518" s="225" t="s">
        <v>808</v>
      </c>
      <c r="C518" s="226"/>
      <c r="D518" s="226">
        <v>0</v>
      </c>
      <c r="E518" s="226">
        <v>24640</v>
      </c>
      <c r="F518" s="226">
        <v>34854.848404999997</v>
      </c>
      <c r="G518" s="226">
        <v>1419.690552</v>
      </c>
      <c r="H518" s="227">
        <v>60914.538956999997</v>
      </c>
      <c r="I518" s="226">
        <v>22220.638180000002</v>
      </c>
      <c r="J518" s="226">
        <v>4963.1691350000001</v>
      </c>
      <c r="K518" s="226">
        <v>5112.0642090000001</v>
      </c>
      <c r="L518" s="226">
        <v>5765.426136</v>
      </c>
      <c r="M518" s="227">
        <v>38061.297660000004</v>
      </c>
      <c r="N518" s="226">
        <v>5890.8877359999997</v>
      </c>
      <c r="O518" s="226">
        <v>5290.8877359999997</v>
      </c>
      <c r="P518" s="226">
        <v>5290.8877359999997</v>
      </c>
      <c r="Q518" s="226">
        <v>5805.8877359999997</v>
      </c>
      <c r="R518" s="227">
        <v>22278.550943999999</v>
      </c>
      <c r="S518" s="226">
        <v>5890.8877359999997</v>
      </c>
      <c r="T518" s="226">
        <v>5290.8877359999997</v>
      </c>
      <c r="U518" s="226">
        <v>5290.8877359999997</v>
      </c>
      <c r="V518" s="226">
        <v>5821.3377360000004</v>
      </c>
      <c r="W518" s="227">
        <v>22294.000943999999</v>
      </c>
    </row>
    <row r="519" spans="1:23" s="224" customFormat="1" ht="12.75" x14ac:dyDescent="0.2">
      <c r="A519" s="225"/>
      <c r="B519" s="225" t="s">
        <v>809</v>
      </c>
      <c r="C519" s="226"/>
      <c r="D519" s="226">
        <v>0</v>
      </c>
      <c r="E519" s="226">
        <v>2301.5826080000002</v>
      </c>
      <c r="F519" s="226">
        <v>0</v>
      </c>
      <c r="G519" s="226">
        <v>163.97273507999998</v>
      </c>
      <c r="H519" s="227">
        <v>2465.5553430800001</v>
      </c>
      <c r="I519" s="226">
        <v>5520.2616580000004</v>
      </c>
      <c r="J519" s="226">
        <v>5067.8695079999998</v>
      </c>
      <c r="K519" s="226">
        <v>5219.9055930000004</v>
      </c>
      <c r="L519" s="226">
        <v>5876.5027609999997</v>
      </c>
      <c r="M519" s="227">
        <v>21684.539519999998</v>
      </c>
      <c r="N519" s="226">
        <v>5976.5027609999997</v>
      </c>
      <c r="O519" s="226">
        <v>5376.5027609999997</v>
      </c>
      <c r="P519" s="226">
        <v>5376.5027609999997</v>
      </c>
      <c r="Q519" s="226">
        <v>5891.5027609999997</v>
      </c>
      <c r="R519" s="227">
        <v>22621.011043999999</v>
      </c>
      <c r="S519" s="226">
        <v>5976.5027609999997</v>
      </c>
      <c r="T519" s="226">
        <v>5376.5027609999997</v>
      </c>
      <c r="U519" s="226">
        <v>5376.5027609999997</v>
      </c>
      <c r="V519" s="226">
        <v>5906.9527609999996</v>
      </c>
      <c r="W519" s="227">
        <v>22636.461044</v>
      </c>
    </row>
    <row r="520" spans="1:23" s="224" customFormat="1" ht="12.75" x14ac:dyDescent="0.2">
      <c r="A520" s="225"/>
      <c r="B520" s="225" t="s">
        <v>810</v>
      </c>
      <c r="C520" s="226"/>
      <c r="D520" s="226">
        <v>0</v>
      </c>
      <c r="E520" s="226">
        <v>0</v>
      </c>
      <c r="F520" s="226">
        <v>0</v>
      </c>
      <c r="G520" s="226">
        <v>110.4297</v>
      </c>
      <c r="H520" s="227">
        <v>110.4297</v>
      </c>
      <c r="I520" s="226">
        <v>5502.3485469999996</v>
      </c>
      <c r="J520" s="226">
        <v>5049.4190040000003</v>
      </c>
      <c r="K520" s="226">
        <v>5200.9015740000004</v>
      </c>
      <c r="L520" s="226">
        <v>5856.928621</v>
      </c>
      <c r="M520" s="227">
        <v>21609.597745999999</v>
      </c>
      <c r="N520" s="226">
        <v>6382.3870770000003</v>
      </c>
      <c r="O520" s="226">
        <v>5782.3870770000003</v>
      </c>
      <c r="P520" s="226">
        <v>5782.3870770000003</v>
      </c>
      <c r="Q520" s="226">
        <v>6297.3870770000003</v>
      </c>
      <c r="R520" s="227">
        <v>24244.548308000001</v>
      </c>
      <c r="S520" s="226">
        <v>6382.3870770000003</v>
      </c>
      <c r="T520" s="226">
        <v>5782.3870770000003</v>
      </c>
      <c r="U520" s="226">
        <v>5782.3870770000003</v>
      </c>
      <c r="V520" s="226">
        <v>6312.8370770000001</v>
      </c>
      <c r="W520" s="227">
        <v>24259.998308000002</v>
      </c>
    </row>
    <row r="521" spans="1:23" s="224" customFormat="1" ht="12.75" x14ac:dyDescent="0.2">
      <c r="A521" s="225"/>
      <c r="B521" s="225" t="s">
        <v>811</v>
      </c>
      <c r="C521" s="226"/>
      <c r="D521" s="226">
        <v>0</v>
      </c>
      <c r="E521" s="226">
        <v>654.75653999999997</v>
      </c>
      <c r="F521" s="226">
        <v>1020</v>
      </c>
      <c r="G521" s="226">
        <v>808.27436</v>
      </c>
      <c r="H521" s="227">
        <v>2483.0308999999997</v>
      </c>
      <c r="I521" s="226">
        <v>5452.1059560000003</v>
      </c>
      <c r="J521" s="226">
        <v>4997.6691350000001</v>
      </c>
      <c r="K521" s="226">
        <v>5147.599209</v>
      </c>
      <c r="L521" s="226">
        <v>5802.0271860000003</v>
      </c>
      <c r="M521" s="227">
        <v>21399.401485999999</v>
      </c>
      <c r="N521" s="226">
        <v>5902.0271860000003</v>
      </c>
      <c r="O521" s="226">
        <v>5302.0271860000003</v>
      </c>
      <c r="P521" s="226">
        <v>5302.0271860000003</v>
      </c>
      <c r="Q521" s="226">
        <v>5817.0271860000003</v>
      </c>
      <c r="R521" s="227">
        <v>22323.108744000001</v>
      </c>
      <c r="S521" s="226">
        <v>5902.0271860000003</v>
      </c>
      <c r="T521" s="226">
        <v>5302.0271860000003</v>
      </c>
      <c r="U521" s="226">
        <v>5302.0271860000003</v>
      </c>
      <c r="V521" s="226">
        <v>5832.4771860000001</v>
      </c>
      <c r="W521" s="227">
        <v>22338.558744000002</v>
      </c>
    </row>
    <row r="522" spans="1:23" s="224" customFormat="1" ht="12.75" x14ac:dyDescent="0.2">
      <c r="A522" s="225"/>
      <c r="B522" s="225" t="s">
        <v>812</v>
      </c>
      <c r="C522" s="226"/>
      <c r="D522" s="226">
        <v>0</v>
      </c>
      <c r="E522" s="226">
        <v>1561.6204889999999</v>
      </c>
      <c r="F522" s="226">
        <v>5955.3920600000001</v>
      </c>
      <c r="G522" s="226">
        <v>457.65008599999999</v>
      </c>
      <c r="H522" s="227">
        <v>7974.6626349999997</v>
      </c>
      <c r="I522" s="226">
        <v>4707.5695290000003</v>
      </c>
      <c r="J522" s="226">
        <v>5030.7966150000002</v>
      </c>
      <c r="K522" s="226">
        <v>5181.7205130000002</v>
      </c>
      <c r="L522" s="226">
        <v>5837.1721289999996</v>
      </c>
      <c r="M522" s="227">
        <v>20757.258785999999</v>
      </c>
      <c r="N522" s="226">
        <v>5962.6337290000001</v>
      </c>
      <c r="O522" s="226">
        <v>5362.6337290000001</v>
      </c>
      <c r="P522" s="226">
        <v>5362.6337290000001</v>
      </c>
      <c r="Q522" s="226">
        <v>5877.6337290000001</v>
      </c>
      <c r="R522" s="227">
        <v>22565.534916000001</v>
      </c>
      <c r="S522" s="226">
        <v>5962.6337290000001</v>
      </c>
      <c r="T522" s="226">
        <v>5362.6337290000001</v>
      </c>
      <c r="U522" s="226">
        <v>5362.6337290000001</v>
      </c>
      <c r="V522" s="226">
        <v>5893.0837289999999</v>
      </c>
      <c r="W522" s="227">
        <v>22580.984916000001</v>
      </c>
    </row>
    <row r="523" spans="1:23" s="224" customFormat="1" ht="12.75" x14ac:dyDescent="0.2">
      <c r="A523" s="225"/>
      <c r="B523" s="225" t="s">
        <v>813</v>
      </c>
      <c r="C523" s="226"/>
      <c r="D523" s="226">
        <v>0</v>
      </c>
      <c r="E523" s="226">
        <v>0</v>
      </c>
      <c r="F523" s="226">
        <v>0</v>
      </c>
      <c r="G523" s="226">
        <v>3418.8671720000002</v>
      </c>
      <c r="H523" s="227">
        <v>3418.8671720000002</v>
      </c>
      <c r="I523" s="226">
        <v>5996.0372289999996</v>
      </c>
      <c r="J523" s="226">
        <v>5557.9183460000004</v>
      </c>
      <c r="K523" s="226">
        <v>5724.6558960000002</v>
      </c>
      <c r="L523" s="226">
        <v>6396.3955729999998</v>
      </c>
      <c r="M523" s="227">
        <v>23675.007043999998</v>
      </c>
      <c r="N523" s="226">
        <v>6496.3955729999998</v>
      </c>
      <c r="O523" s="226">
        <v>5896.3955729999998</v>
      </c>
      <c r="P523" s="226">
        <v>5896.3955729999998</v>
      </c>
      <c r="Q523" s="226">
        <v>6411.3955729999998</v>
      </c>
      <c r="R523" s="227">
        <v>24700.582291999999</v>
      </c>
      <c r="S523" s="226">
        <v>6496.3955729999998</v>
      </c>
      <c r="T523" s="226">
        <v>5896.3955729999998</v>
      </c>
      <c r="U523" s="226">
        <v>5896.3955729999998</v>
      </c>
      <c r="V523" s="226">
        <v>6426.8455729999996</v>
      </c>
      <c r="W523" s="227">
        <v>24716.032291999996</v>
      </c>
    </row>
    <row r="524" spans="1:23" s="224" customFormat="1" ht="12.75" x14ac:dyDescent="0.2">
      <c r="A524" s="225"/>
      <c r="B524" s="225" t="s">
        <v>814</v>
      </c>
      <c r="C524" s="226"/>
      <c r="D524" s="226">
        <v>0</v>
      </c>
      <c r="E524" s="226">
        <v>3928.6432329999998</v>
      </c>
      <c r="F524" s="226">
        <v>0</v>
      </c>
      <c r="G524" s="226">
        <v>181.437826</v>
      </c>
      <c r="H524" s="227">
        <v>4110.0810590000001</v>
      </c>
      <c r="I524" s="226">
        <v>5512.3310760000004</v>
      </c>
      <c r="J524" s="226">
        <v>5059.7010090000003</v>
      </c>
      <c r="K524" s="226">
        <v>5211.4920389999997</v>
      </c>
      <c r="L524" s="226">
        <v>5867.8368</v>
      </c>
      <c r="M524" s="227">
        <v>21651.360924000001</v>
      </c>
      <c r="N524" s="226">
        <v>5967.8368</v>
      </c>
      <c r="O524" s="226">
        <v>5367.8368</v>
      </c>
      <c r="P524" s="226">
        <v>5367.8368</v>
      </c>
      <c r="Q524" s="226">
        <v>5882.8368</v>
      </c>
      <c r="R524" s="227">
        <v>22586.3472</v>
      </c>
      <c r="S524" s="226">
        <v>5967.8368</v>
      </c>
      <c r="T524" s="226">
        <v>5367.8368</v>
      </c>
      <c r="U524" s="226">
        <v>5367.8368</v>
      </c>
      <c r="V524" s="226">
        <v>5898.2867999999999</v>
      </c>
      <c r="W524" s="227">
        <v>22601.797200000001</v>
      </c>
    </row>
    <row r="525" spans="1:23" s="224" customFormat="1" ht="12.75" x14ac:dyDescent="0.2">
      <c r="A525" s="225"/>
      <c r="B525" s="225" t="s">
        <v>815</v>
      </c>
      <c r="C525" s="226"/>
      <c r="D525" s="226">
        <v>0</v>
      </c>
      <c r="E525" s="226">
        <v>0</v>
      </c>
      <c r="F525" s="226">
        <v>920.94093599999997</v>
      </c>
      <c r="G525" s="226">
        <v>360.33006999999998</v>
      </c>
      <c r="H525" s="227">
        <v>1281.2710059999999</v>
      </c>
      <c r="I525" s="226">
        <v>22474.708645999999</v>
      </c>
      <c r="J525" s="226">
        <v>4163.3146020000004</v>
      </c>
      <c r="K525" s="226">
        <v>4288.2140399999998</v>
      </c>
      <c r="L525" s="226">
        <v>4916.8604610000002</v>
      </c>
      <c r="M525" s="227">
        <v>35843.097748999993</v>
      </c>
      <c r="N525" s="226">
        <v>5943.1939730000004</v>
      </c>
      <c r="O525" s="226">
        <v>5343.1939730000004</v>
      </c>
      <c r="P525" s="226">
        <v>5343.1939730000004</v>
      </c>
      <c r="Q525" s="226">
        <v>5858.1939730000004</v>
      </c>
      <c r="R525" s="227">
        <v>22487.775892000001</v>
      </c>
      <c r="S525" s="226">
        <v>5943.1939730000004</v>
      </c>
      <c r="T525" s="226">
        <v>5343.1939730000004</v>
      </c>
      <c r="U525" s="226">
        <v>5343.1939730000004</v>
      </c>
      <c r="V525" s="226">
        <v>5873.6439730000002</v>
      </c>
      <c r="W525" s="227">
        <v>22503.225892000002</v>
      </c>
    </row>
    <row r="526" spans="1:23" s="224" customFormat="1" ht="12.75" x14ac:dyDescent="0.2">
      <c r="A526" s="225"/>
      <c r="B526" s="225" t="s">
        <v>816</v>
      </c>
      <c r="C526" s="226"/>
      <c r="D526" s="226">
        <v>0</v>
      </c>
      <c r="E526" s="226">
        <v>5953.1251060000004</v>
      </c>
      <c r="F526" s="226">
        <v>0</v>
      </c>
      <c r="G526" s="226">
        <v>179.48920200000001</v>
      </c>
      <c r="H526" s="227">
        <v>6132.6143080000002</v>
      </c>
      <c r="I526" s="226">
        <v>5473.4798339999998</v>
      </c>
      <c r="J526" s="226">
        <v>5019.6842290000004</v>
      </c>
      <c r="K526" s="226">
        <v>5170.2747559999998</v>
      </c>
      <c r="L526" s="226">
        <v>5825.3829990000004</v>
      </c>
      <c r="M526" s="227">
        <v>21488.821818</v>
      </c>
      <c r="N526" s="226">
        <v>5925.3829990000004</v>
      </c>
      <c r="O526" s="226">
        <v>5325.3829990000004</v>
      </c>
      <c r="P526" s="226">
        <v>5325.3829990000004</v>
      </c>
      <c r="Q526" s="226">
        <v>5840.3829990000004</v>
      </c>
      <c r="R526" s="227">
        <v>22416.531996000002</v>
      </c>
      <c r="S526" s="226">
        <v>5925.3829990000004</v>
      </c>
      <c r="T526" s="226">
        <v>5325.3829990000004</v>
      </c>
      <c r="U526" s="226">
        <v>5325.3829990000004</v>
      </c>
      <c r="V526" s="226">
        <v>5855.8329990000002</v>
      </c>
      <c r="W526" s="227">
        <v>22431.981996000002</v>
      </c>
    </row>
    <row r="527" spans="1:23" s="224" customFormat="1" ht="12.75" x14ac:dyDescent="0.2">
      <c r="A527" s="225"/>
      <c r="B527" s="225" t="s">
        <v>817</v>
      </c>
      <c r="C527" s="226"/>
      <c r="D527" s="226">
        <v>0</v>
      </c>
      <c r="E527" s="226">
        <v>0</v>
      </c>
      <c r="F527" s="226">
        <v>903.88969899999995</v>
      </c>
      <c r="G527" s="226">
        <v>248.93876900000001</v>
      </c>
      <c r="H527" s="227">
        <v>1152.8284679999999</v>
      </c>
      <c r="I527" s="226">
        <v>4719.0427289999998</v>
      </c>
      <c r="J527" s="226">
        <v>5042.6140109999997</v>
      </c>
      <c r="K527" s="226">
        <v>5193.8924310000002</v>
      </c>
      <c r="L527" s="226">
        <v>5849.7092039999998</v>
      </c>
      <c r="M527" s="227">
        <v>20805.258374999998</v>
      </c>
      <c r="N527" s="226">
        <v>6375.1676610000004</v>
      </c>
      <c r="O527" s="226">
        <v>5775.1676610000004</v>
      </c>
      <c r="P527" s="226">
        <v>5775.1676610000004</v>
      </c>
      <c r="Q527" s="226">
        <v>6290.1676610000004</v>
      </c>
      <c r="R527" s="227">
        <v>24215.670644000002</v>
      </c>
      <c r="S527" s="226">
        <v>6375.1676610000004</v>
      </c>
      <c r="T527" s="226">
        <v>5775.1676610000004</v>
      </c>
      <c r="U527" s="226">
        <v>5775.1676610000004</v>
      </c>
      <c r="V527" s="226">
        <v>6305.6176610000002</v>
      </c>
      <c r="W527" s="227">
        <v>24231.120644000002</v>
      </c>
    </row>
    <row r="528" spans="1:23" s="224" customFormat="1" ht="12.75" x14ac:dyDescent="0.2">
      <c r="A528" s="225"/>
      <c r="B528" s="225" t="s">
        <v>818</v>
      </c>
      <c r="C528" s="226"/>
      <c r="D528" s="226">
        <v>0</v>
      </c>
      <c r="E528" s="226">
        <v>0</v>
      </c>
      <c r="F528" s="226">
        <v>190.74112</v>
      </c>
      <c r="G528" s="226">
        <v>234.769924</v>
      </c>
      <c r="H528" s="227">
        <v>425.51104399999997</v>
      </c>
      <c r="I528" s="226">
        <v>23236.889770999998</v>
      </c>
      <c r="J528" s="226">
        <v>4240.741548</v>
      </c>
      <c r="K528" s="226">
        <v>4367.9637940000002</v>
      </c>
      <c r="L528" s="226">
        <v>4999.002708</v>
      </c>
      <c r="M528" s="227">
        <v>36844.597821000003</v>
      </c>
      <c r="N528" s="226">
        <v>5973.1843079999999</v>
      </c>
      <c r="O528" s="226">
        <v>5373.1843079999999</v>
      </c>
      <c r="P528" s="226">
        <v>5373.1843079999999</v>
      </c>
      <c r="Q528" s="226">
        <v>5888.1843079999999</v>
      </c>
      <c r="R528" s="227">
        <v>22607.737231999999</v>
      </c>
      <c r="S528" s="226">
        <v>5973.1843079999999</v>
      </c>
      <c r="T528" s="226">
        <v>5373.1843079999999</v>
      </c>
      <c r="U528" s="226">
        <v>5373.1843079999999</v>
      </c>
      <c r="V528" s="226">
        <v>5903.6343079999997</v>
      </c>
      <c r="W528" s="227">
        <v>22623.187232</v>
      </c>
    </row>
    <row r="529" spans="1:23" s="224" customFormat="1" ht="12.75" x14ac:dyDescent="0.2">
      <c r="A529" s="225"/>
      <c r="B529" s="225" t="s">
        <v>819</v>
      </c>
      <c r="C529" s="226"/>
      <c r="D529" s="226">
        <v>0</v>
      </c>
      <c r="E529" s="226">
        <v>0</v>
      </c>
      <c r="F529" s="226">
        <v>2894.164111</v>
      </c>
      <c r="G529" s="226">
        <v>187.26013599999999</v>
      </c>
      <c r="H529" s="227">
        <v>3081.4242469999999</v>
      </c>
      <c r="I529" s="226">
        <v>4707.5695290000003</v>
      </c>
      <c r="J529" s="226">
        <v>5030.7966150000002</v>
      </c>
      <c r="K529" s="226">
        <v>5181.7205130000002</v>
      </c>
      <c r="L529" s="226">
        <v>5837.1721289999996</v>
      </c>
      <c r="M529" s="227">
        <v>20757.258785999999</v>
      </c>
      <c r="N529" s="226">
        <v>5962.6337290000001</v>
      </c>
      <c r="O529" s="226">
        <v>5362.6337290000001</v>
      </c>
      <c r="P529" s="226">
        <v>5362.6337290000001</v>
      </c>
      <c r="Q529" s="226">
        <v>5877.6337290000001</v>
      </c>
      <c r="R529" s="227">
        <v>22565.534916000001</v>
      </c>
      <c r="S529" s="226">
        <v>5962.6337290000001</v>
      </c>
      <c r="T529" s="226">
        <v>5362.6337290000001</v>
      </c>
      <c r="U529" s="226">
        <v>5362.6337290000001</v>
      </c>
      <c r="V529" s="226">
        <v>5893.0837289999999</v>
      </c>
      <c r="W529" s="227">
        <v>22580.984916000001</v>
      </c>
    </row>
    <row r="530" spans="1:23" s="224" customFormat="1" ht="12.75" x14ac:dyDescent="0.2">
      <c r="A530" s="225"/>
      <c r="B530" s="225" t="s">
        <v>820</v>
      </c>
      <c r="C530" s="226"/>
      <c r="D530" s="226">
        <v>1531.5919469999999</v>
      </c>
      <c r="E530" s="226">
        <v>304.39775900000001</v>
      </c>
      <c r="F530" s="226">
        <v>0</v>
      </c>
      <c r="G530" s="226">
        <v>683.93463599999995</v>
      </c>
      <c r="H530" s="227">
        <v>2519.9243419999998</v>
      </c>
      <c r="I530" s="226">
        <v>6093.0586309999999</v>
      </c>
      <c r="J530" s="226">
        <v>5657.8503899999996</v>
      </c>
      <c r="K530" s="226">
        <v>5827.5859019999998</v>
      </c>
      <c r="L530" s="226">
        <v>6502.4134789999998</v>
      </c>
      <c r="M530" s="227">
        <v>24080.908401999997</v>
      </c>
      <c r="N530" s="226">
        <v>6602.4134789999998</v>
      </c>
      <c r="O530" s="226">
        <v>6002.4134789999998</v>
      </c>
      <c r="P530" s="226">
        <v>6002.4134789999998</v>
      </c>
      <c r="Q530" s="226">
        <v>6517.4134789999998</v>
      </c>
      <c r="R530" s="227">
        <v>25124.653915999999</v>
      </c>
      <c r="S530" s="226">
        <v>6602.4134789999998</v>
      </c>
      <c r="T530" s="226">
        <v>6002.4134789999998</v>
      </c>
      <c r="U530" s="226">
        <v>6002.4134789999998</v>
      </c>
      <c r="V530" s="226">
        <v>6532.8634789999996</v>
      </c>
      <c r="W530" s="227">
        <v>25140.103916</v>
      </c>
    </row>
    <row r="531" spans="1:23" s="224" customFormat="1" ht="12.75" x14ac:dyDescent="0.2">
      <c r="A531" s="225"/>
      <c r="B531" s="225" t="s">
        <v>821</v>
      </c>
      <c r="C531" s="226"/>
      <c r="D531" s="226">
        <v>0</v>
      </c>
      <c r="E531" s="226">
        <v>0</v>
      </c>
      <c r="F531" s="226">
        <v>0</v>
      </c>
      <c r="G531" s="226">
        <v>232.73082500000001</v>
      </c>
      <c r="H531" s="227">
        <v>232.73082500000001</v>
      </c>
      <c r="I531" s="226">
        <v>4702.3485469999996</v>
      </c>
      <c r="J531" s="226">
        <v>5025.4190040000003</v>
      </c>
      <c r="K531" s="226">
        <v>5176.1815740000002</v>
      </c>
      <c r="L531" s="226">
        <v>5831.4670210000004</v>
      </c>
      <c r="M531" s="227">
        <v>20735.416146000003</v>
      </c>
      <c r="N531" s="226">
        <v>6356.9254769999998</v>
      </c>
      <c r="O531" s="226">
        <v>5756.9254769999998</v>
      </c>
      <c r="P531" s="226">
        <v>5756.9254769999998</v>
      </c>
      <c r="Q531" s="226">
        <v>6271.9254769999998</v>
      </c>
      <c r="R531" s="227">
        <v>24142.701907999999</v>
      </c>
      <c r="S531" s="226">
        <v>6356.9254769999998</v>
      </c>
      <c r="T531" s="226">
        <v>5756.9254769999998</v>
      </c>
      <c r="U531" s="226">
        <v>5756.9254769999998</v>
      </c>
      <c r="V531" s="226">
        <v>6287.3754769999996</v>
      </c>
      <c r="W531" s="227">
        <v>24158.151908</v>
      </c>
    </row>
    <row r="532" spans="1:23" s="224" customFormat="1" ht="12.75" x14ac:dyDescent="0.2">
      <c r="A532" s="225"/>
      <c r="B532" s="225" t="s">
        <v>822</v>
      </c>
      <c r="C532" s="226"/>
      <c r="D532" s="226">
        <v>1210.6534240000001</v>
      </c>
      <c r="E532" s="226">
        <v>0</v>
      </c>
      <c r="F532" s="226">
        <v>0</v>
      </c>
      <c r="G532" s="226">
        <v>762.82932900000003</v>
      </c>
      <c r="H532" s="227">
        <v>1973.4827530000002</v>
      </c>
      <c r="I532" s="226">
        <v>6126.361699</v>
      </c>
      <c r="J532" s="226">
        <v>5692.1525499999998</v>
      </c>
      <c r="K532" s="226">
        <v>5862.9171260000003</v>
      </c>
      <c r="L532" s="226">
        <v>6538.8046400000003</v>
      </c>
      <c r="M532" s="227">
        <v>24220.236015000002</v>
      </c>
      <c r="N532" s="226">
        <v>6638.8046400000003</v>
      </c>
      <c r="O532" s="226">
        <v>6038.8046400000003</v>
      </c>
      <c r="P532" s="226">
        <v>6038.8046400000003</v>
      </c>
      <c r="Q532" s="226">
        <v>6553.8046400000003</v>
      </c>
      <c r="R532" s="227">
        <v>25270.218560000001</v>
      </c>
      <c r="S532" s="226">
        <v>6638.8046400000003</v>
      </c>
      <c r="T532" s="226">
        <v>6038.8046400000003</v>
      </c>
      <c r="U532" s="226">
        <v>6038.8046400000003</v>
      </c>
      <c r="V532" s="226">
        <v>6569.2546400000001</v>
      </c>
      <c r="W532" s="227">
        <v>25285.668559999998</v>
      </c>
    </row>
    <row r="533" spans="1:23" s="224" customFormat="1" ht="12.75" x14ac:dyDescent="0.2">
      <c r="A533" s="225"/>
      <c r="B533" s="225" t="s">
        <v>823</v>
      </c>
      <c r="C533" s="226"/>
      <c r="D533" s="226">
        <v>0</v>
      </c>
      <c r="E533" s="226">
        <v>0</v>
      </c>
      <c r="F533" s="226">
        <v>0</v>
      </c>
      <c r="G533" s="226">
        <v>385.49489699999998</v>
      </c>
      <c r="H533" s="227">
        <v>385.49489699999998</v>
      </c>
      <c r="I533" s="226">
        <v>5473.2878609999998</v>
      </c>
      <c r="J533" s="226">
        <v>5019.4864969999999</v>
      </c>
      <c r="K533" s="226">
        <v>5170.0710920000001</v>
      </c>
      <c r="L533" s="226">
        <v>5825.1732249999995</v>
      </c>
      <c r="M533" s="227">
        <v>21488.018674999999</v>
      </c>
      <c r="N533" s="226">
        <v>5925.1732249999995</v>
      </c>
      <c r="O533" s="226">
        <v>5325.1732249999995</v>
      </c>
      <c r="P533" s="226">
        <v>5325.1732249999995</v>
      </c>
      <c r="Q533" s="226">
        <v>5840.1732249999995</v>
      </c>
      <c r="R533" s="227">
        <v>22415.692899999998</v>
      </c>
      <c r="S533" s="226">
        <v>5925.1732249999995</v>
      </c>
      <c r="T533" s="226">
        <v>5325.1732249999995</v>
      </c>
      <c r="U533" s="226">
        <v>5325.1732249999995</v>
      </c>
      <c r="V533" s="226">
        <v>5855.6232250000003</v>
      </c>
      <c r="W533" s="227">
        <v>22431.142899999999</v>
      </c>
    </row>
    <row r="534" spans="1:23" s="224" customFormat="1" ht="12.75" x14ac:dyDescent="0.2">
      <c r="A534" s="225"/>
      <c r="B534" s="225" t="s">
        <v>824</v>
      </c>
      <c r="C534" s="226"/>
      <c r="D534" s="226">
        <v>0</v>
      </c>
      <c r="E534" s="226">
        <v>0</v>
      </c>
      <c r="F534" s="226">
        <v>0</v>
      </c>
      <c r="G534" s="226">
        <v>163.97273507999998</v>
      </c>
      <c r="H534" s="227">
        <v>163.97273507999998</v>
      </c>
      <c r="I534" s="226">
        <v>5520.2616580000004</v>
      </c>
      <c r="J534" s="226">
        <v>5067.8695079999998</v>
      </c>
      <c r="K534" s="226">
        <v>5219.9055930000004</v>
      </c>
      <c r="L534" s="226">
        <v>5876.5027609999997</v>
      </c>
      <c r="M534" s="227">
        <v>21684.539519999998</v>
      </c>
      <c r="N534" s="226">
        <v>5976.5027609999997</v>
      </c>
      <c r="O534" s="226">
        <v>5376.5027609999997</v>
      </c>
      <c r="P534" s="226">
        <v>5376.5027609999997</v>
      </c>
      <c r="Q534" s="226">
        <v>5891.5027609999997</v>
      </c>
      <c r="R534" s="227">
        <v>22621.011043999999</v>
      </c>
      <c r="S534" s="226">
        <v>5976.5027609999997</v>
      </c>
      <c r="T534" s="226">
        <v>5376.5027609999997</v>
      </c>
      <c r="U534" s="226">
        <v>5376.5027609999997</v>
      </c>
      <c r="V534" s="226">
        <v>5906.9527609999996</v>
      </c>
      <c r="W534" s="227">
        <v>22636.461044</v>
      </c>
    </row>
    <row r="535" spans="1:23" s="224" customFormat="1" ht="12.75" x14ac:dyDescent="0.2">
      <c r="A535" s="225"/>
      <c r="B535" s="225" t="s">
        <v>825</v>
      </c>
      <c r="C535" s="226"/>
      <c r="D535" s="226">
        <v>6776.9516750000003</v>
      </c>
      <c r="E535" s="226">
        <v>583.99565900000005</v>
      </c>
      <c r="F535" s="226">
        <v>0</v>
      </c>
      <c r="G535" s="226">
        <v>572.659716</v>
      </c>
      <c r="H535" s="227">
        <v>7933.6070500000005</v>
      </c>
      <c r="I535" s="226">
        <v>5978.445463</v>
      </c>
      <c r="J535" s="226">
        <v>5539.7988269999996</v>
      </c>
      <c r="K535" s="226">
        <v>5705.992792</v>
      </c>
      <c r="L535" s="226">
        <v>6377.1725759999999</v>
      </c>
      <c r="M535" s="227">
        <v>23601.409658</v>
      </c>
      <c r="N535" s="226">
        <v>6477.1725759999999</v>
      </c>
      <c r="O535" s="226">
        <v>5877.1725759999999</v>
      </c>
      <c r="P535" s="226">
        <v>5877.1725759999999</v>
      </c>
      <c r="Q535" s="226">
        <v>6392.1725759999999</v>
      </c>
      <c r="R535" s="227">
        <v>24623.690304</v>
      </c>
      <c r="S535" s="226">
        <v>6477.1725759999999</v>
      </c>
      <c r="T535" s="226">
        <v>5877.1725759999999</v>
      </c>
      <c r="U535" s="226">
        <v>5877.1725759999999</v>
      </c>
      <c r="V535" s="226">
        <v>6407.6225759999998</v>
      </c>
      <c r="W535" s="227">
        <v>24639.140304</v>
      </c>
    </row>
    <row r="536" spans="1:23" s="224" customFormat="1" ht="12.75" x14ac:dyDescent="0.2">
      <c r="A536" s="225"/>
      <c r="B536" s="225" t="s">
        <v>826</v>
      </c>
      <c r="C536" s="226"/>
      <c r="D536" s="226">
        <v>0</v>
      </c>
      <c r="E536" s="226">
        <v>0</v>
      </c>
      <c r="F536" s="226">
        <v>953.19593799999996</v>
      </c>
      <c r="G536" s="226">
        <v>164.11915400000001</v>
      </c>
      <c r="H536" s="227">
        <v>1117.315092</v>
      </c>
      <c r="I536" s="226">
        <v>5519.0427289999998</v>
      </c>
      <c r="J536" s="226">
        <v>5066.6140109999997</v>
      </c>
      <c r="K536" s="226">
        <v>5218.6124309999996</v>
      </c>
      <c r="L536" s="226">
        <v>5875.1708040000003</v>
      </c>
      <c r="M536" s="227">
        <v>21679.439974999998</v>
      </c>
      <c r="N536" s="226">
        <v>6400.629261</v>
      </c>
      <c r="O536" s="226">
        <v>5800.629261</v>
      </c>
      <c r="P536" s="226">
        <v>5800.629261</v>
      </c>
      <c r="Q536" s="226">
        <v>6315.629261</v>
      </c>
      <c r="R536" s="227">
        <v>24317.517044</v>
      </c>
      <c r="S536" s="226">
        <v>6400.629261</v>
      </c>
      <c r="T536" s="226">
        <v>5800.629261</v>
      </c>
      <c r="U536" s="226">
        <v>5800.629261</v>
      </c>
      <c r="V536" s="226">
        <v>6331.0792609999999</v>
      </c>
      <c r="W536" s="227">
        <v>24332.967043999997</v>
      </c>
    </row>
    <row r="537" spans="1:23" s="224" customFormat="1" ht="12.75" x14ac:dyDescent="0.2">
      <c r="A537" s="225"/>
      <c r="B537" s="225" t="s">
        <v>827</v>
      </c>
      <c r="C537" s="226"/>
      <c r="D537" s="226">
        <v>0</v>
      </c>
      <c r="E537" s="226">
        <v>0</v>
      </c>
      <c r="F537" s="226">
        <v>928.20375000000001</v>
      </c>
      <c r="G537" s="226">
        <v>119.56644</v>
      </c>
      <c r="H537" s="227">
        <v>1047.77019</v>
      </c>
      <c r="I537" s="226">
        <v>5511.7593889999998</v>
      </c>
      <c r="J537" s="226">
        <v>5059.1121709999998</v>
      </c>
      <c r="K537" s="226">
        <v>5210.8855359999998</v>
      </c>
      <c r="L537" s="226">
        <v>5867.2121020000004</v>
      </c>
      <c r="M537" s="227">
        <v>21648.969197999999</v>
      </c>
      <c r="N537" s="226">
        <v>5967.2121020000004</v>
      </c>
      <c r="O537" s="226">
        <v>5367.2121020000004</v>
      </c>
      <c r="P537" s="226">
        <v>5367.2121020000004</v>
      </c>
      <c r="Q537" s="226">
        <v>5882.2121020000004</v>
      </c>
      <c r="R537" s="227">
        <v>22583.848408000002</v>
      </c>
      <c r="S537" s="226">
        <v>5967.2121020000004</v>
      </c>
      <c r="T537" s="226">
        <v>5367.2121020000004</v>
      </c>
      <c r="U537" s="226">
        <v>5367.2121020000004</v>
      </c>
      <c r="V537" s="226">
        <v>5897.6621020000002</v>
      </c>
      <c r="W537" s="227">
        <v>22599.298408000002</v>
      </c>
    </row>
    <row r="538" spans="1:23" s="224" customFormat="1" ht="12.75" x14ac:dyDescent="0.2">
      <c r="A538" s="225"/>
      <c r="B538" s="225" t="s">
        <v>828</v>
      </c>
      <c r="C538" s="226"/>
      <c r="D538" s="226">
        <v>13568.94737</v>
      </c>
      <c r="E538" s="226">
        <v>4268.2840249999999</v>
      </c>
      <c r="F538" s="226">
        <v>0</v>
      </c>
      <c r="G538" s="226">
        <v>119.251304</v>
      </c>
      <c r="H538" s="227">
        <v>17956.482699</v>
      </c>
      <c r="I538" s="226">
        <v>5411.4347989999997</v>
      </c>
      <c r="J538" s="226">
        <v>4955.7778429999998</v>
      </c>
      <c r="K538" s="226">
        <v>5104.4511780000003</v>
      </c>
      <c r="L538" s="226">
        <v>5757.5847139999996</v>
      </c>
      <c r="M538" s="227">
        <v>21229.248533999998</v>
      </c>
      <c r="N538" s="226">
        <v>5857.5847139999996</v>
      </c>
      <c r="O538" s="226">
        <v>5257.5847139999996</v>
      </c>
      <c r="P538" s="226">
        <v>5257.5847139999996</v>
      </c>
      <c r="Q538" s="226">
        <v>5772.5847139999996</v>
      </c>
      <c r="R538" s="227">
        <v>22145.338855999998</v>
      </c>
      <c r="S538" s="226">
        <v>5857.5847139999996</v>
      </c>
      <c r="T538" s="226">
        <v>5257.5847139999996</v>
      </c>
      <c r="U538" s="226">
        <v>5257.5847139999996</v>
      </c>
      <c r="V538" s="226">
        <v>5788.0347140000003</v>
      </c>
      <c r="W538" s="227">
        <v>22160.788855999999</v>
      </c>
    </row>
    <row r="539" spans="1:23" s="224" customFormat="1" ht="12.75" x14ac:dyDescent="0.2">
      <c r="A539" s="225"/>
      <c r="B539" s="225" t="s">
        <v>829</v>
      </c>
      <c r="C539" s="226"/>
      <c r="D539" s="226">
        <v>73.752799999999993</v>
      </c>
      <c r="E539" s="226">
        <v>0</v>
      </c>
      <c r="F539" s="226">
        <v>700.849468</v>
      </c>
      <c r="G539" s="226">
        <v>8403.6239220000007</v>
      </c>
      <c r="H539" s="227">
        <v>9178.2261900000012</v>
      </c>
      <c r="I539" s="226">
        <v>5506.7558609999996</v>
      </c>
      <c r="J539" s="226">
        <v>5053.9585370000004</v>
      </c>
      <c r="K539" s="226">
        <v>5205.5772930000003</v>
      </c>
      <c r="L539" s="226">
        <v>5861.7446120000004</v>
      </c>
      <c r="M539" s="227">
        <v>21628.036303000001</v>
      </c>
      <c r="N539" s="226">
        <v>5961.7446120000004</v>
      </c>
      <c r="O539" s="226">
        <v>5361.7446120000004</v>
      </c>
      <c r="P539" s="226">
        <v>5361.7446120000004</v>
      </c>
      <c r="Q539" s="226">
        <v>5876.7446120000004</v>
      </c>
      <c r="R539" s="227">
        <v>22561.978448000002</v>
      </c>
      <c r="S539" s="226">
        <v>5961.7446120000004</v>
      </c>
      <c r="T539" s="226">
        <v>5361.7446120000004</v>
      </c>
      <c r="U539" s="226">
        <v>5361.7446120000004</v>
      </c>
      <c r="V539" s="226">
        <v>5892.1946120000002</v>
      </c>
      <c r="W539" s="227">
        <v>22577.428447999999</v>
      </c>
    </row>
    <row r="540" spans="1:23" s="224" customFormat="1" ht="12.75" x14ac:dyDescent="0.2">
      <c r="A540" s="225"/>
      <c r="B540" s="225" t="s">
        <v>830</v>
      </c>
      <c r="C540" s="226"/>
      <c r="D540" s="226">
        <v>0</v>
      </c>
      <c r="E540" s="226">
        <v>0</v>
      </c>
      <c r="F540" s="226">
        <v>0</v>
      </c>
      <c r="G540" s="226">
        <v>335.43366600000002</v>
      </c>
      <c r="H540" s="227">
        <v>335.43366600000002</v>
      </c>
      <c r="I540" s="226">
        <v>5397.2026809999998</v>
      </c>
      <c r="J540" s="226">
        <v>4941.1187620000001</v>
      </c>
      <c r="K540" s="226">
        <v>5089.3523249999998</v>
      </c>
      <c r="L540" s="226">
        <v>5742.0328950000003</v>
      </c>
      <c r="M540" s="227">
        <v>21169.706663000001</v>
      </c>
      <c r="N540" s="226">
        <v>5842.0328950000003</v>
      </c>
      <c r="O540" s="226">
        <v>5242.0328950000003</v>
      </c>
      <c r="P540" s="226">
        <v>5242.0328950000003</v>
      </c>
      <c r="Q540" s="226">
        <v>5757.0328950000003</v>
      </c>
      <c r="R540" s="227">
        <v>22083.131580000001</v>
      </c>
      <c r="S540" s="226">
        <v>5842.0328950000003</v>
      </c>
      <c r="T540" s="226">
        <v>5242.0328950000003</v>
      </c>
      <c r="U540" s="226">
        <v>5242.0328950000003</v>
      </c>
      <c r="V540" s="226">
        <v>5772.4828950000001</v>
      </c>
      <c r="W540" s="227">
        <v>22098.581580000002</v>
      </c>
    </row>
    <row r="541" spans="1:23" s="224" customFormat="1" ht="12.75" x14ac:dyDescent="0.2">
      <c r="A541" s="225"/>
      <c r="B541" s="225" t="s">
        <v>831</v>
      </c>
      <c r="C541" s="226"/>
      <c r="D541" s="226">
        <v>2527.336922</v>
      </c>
      <c r="E541" s="226">
        <v>1975.474667</v>
      </c>
      <c r="F541" s="226">
        <v>0</v>
      </c>
      <c r="G541" s="226">
        <v>655.83587999999997</v>
      </c>
      <c r="H541" s="227">
        <v>5158.6474689999995</v>
      </c>
      <c r="I541" s="226">
        <v>6064.1169120000004</v>
      </c>
      <c r="J541" s="226">
        <v>5628.0404200000003</v>
      </c>
      <c r="K541" s="226">
        <v>5796.881633</v>
      </c>
      <c r="L541" s="226">
        <v>6470.788082</v>
      </c>
      <c r="M541" s="227">
        <v>23959.827046999999</v>
      </c>
      <c r="N541" s="226">
        <v>6570.788082</v>
      </c>
      <c r="O541" s="226">
        <v>5970.788082</v>
      </c>
      <c r="P541" s="226">
        <v>5970.788082</v>
      </c>
      <c r="Q541" s="226">
        <v>6485.788082</v>
      </c>
      <c r="R541" s="227">
        <v>24998.152328</v>
      </c>
      <c r="S541" s="226">
        <v>6570.788082</v>
      </c>
      <c r="T541" s="226">
        <v>5970.788082</v>
      </c>
      <c r="U541" s="226">
        <v>5970.788082</v>
      </c>
      <c r="V541" s="226">
        <v>6501.2380819999998</v>
      </c>
      <c r="W541" s="227">
        <v>25013.602328000001</v>
      </c>
    </row>
    <row r="542" spans="1:23" s="224" customFormat="1" ht="12.75" x14ac:dyDescent="0.2">
      <c r="A542" s="225"/>
      <c r="B542" s="225" t="s">
        <v>832</v>
      </c>
      <c r="C542" s="226"/>
      <c r="D542" s="226">
        <v>0</v>
      </c>
      <c r="E542" s="226">
        <v>0</v>
      </c>
      <c r="F542" s="226">
        <v>0</v>
      </c>
      <c r="G542" s="226">
        <v>273.060338</v>
      </c>
      <c r="H542" s="227">
        <v>273.060338</v>
      </c>
      <c r="I542" s="226">
        <v>5412.1047339999996</v>
      </c>
      <c r="J542" s="226">
        <v>4956.4678759999997</v>
      </c>
      <c r="K542" s="226">
        <v>5105.1619119999996</v>
      </c>
      <c r="L542" s="226">
        <v>5758.3167700000004</v>
      </c>
      <c r="M542" s="227">
        <v>21232.051292</v>
      </c>
      <c r="N542" s="226">
        <v>5858.3167700000004</v>
      </c>
      <c r="O542" s="226">
        <v>5258.3167700000004</v>
      </c>
      <c r="P542" s="226">
        <v>5258.3167700000004</v>
      </c>
      <c r="Q542" s="226">
        <v>5773.3167700000004</v>
      </c>
      <c r="R542" s="227">
        <v>22148.267080000001</v>
      </c>
      <c r="S542" s="226">
        <v>5858.3167700000004</v>
      </c>
      <c r="T542" s="226">
        <v>5258.3167700000004</v>
      </c>
      <c r="U542" s="226">
        <v>5258.3167700000004</v>
      </c>
      <c r="V542" s="226">
        <v>5788.7667700000002</v>
      </c>
      <c r="W542" s="227">
        <v>22163.717080000002</v>
      </c>
    </row>
    <row r="543" spans="1:23" s="224" customFormat="1" ht="12.75" x14ac:dyDescent="0.2">
      <c r="A543" s="225"/>
      <c r="B543" s="225" t="s">
        <v>833</v>
      </c>
      <c r="C543" s="226"/>
      <c r="D543" s="226">
        <v>0</v>
      </c>
      <c r="E543" s="226">
        <v>0</v>
      </c>
      <c r="F543" s="226">
        <v>0</v>
      </c>
      <c r="G543" s="226">
        <v>500.22645599999998</v>
      </c>
      <c r="H543" s="227">
        <v>500.22645599999998</v>
      </c>
      <c r="I543" s="226">
        <v>5903.8392059999996</v>
      </c>
      <c r="J543" s="226">
        <v>5462.9543830000002</v>
      </c>
      <c r="K543" s="226">
        <v>5626.843014</v>
      </c>
      <c r="L543" s="226">
        <v>6295.6483049999997</v>
      </c>
      <c r="M543" s="227">
        <v>23289.284907999998</v>
      </c>
      <c r="N543" s="226">
        <v>6395.6483049999997</v>
      </c>
      <c r="O543" s="226">
        <v>5795.6483049999997</v>
      </c>
      <c r="P543" s="226">
        <v>5795.6483049999997</v>
      </c>
      <c r="Q543" s="226">
        <v>6310.6483049999997</v>
      </c>
      <c r="R543" s="227">
        <v>24297.593219999999</v>
      </c>
      <c r="S543" s="226">
        <v>6395.6483049999997</v>
      </c>
      <c r="T543" s="226">
        <v>5795.6483049999997</v>
      </c>
      <c r="U543" s="226">
        <v>5795.6483049999997</v>
      </c>
      <c r="V543" s="226">
        <v>6326.0983050000004</v>
      </c>
      <c r="W543" s="227">
        <v>24313.04322</v>
      </c>
    </row>
    <row r="544" spans="1:23" s="224" customFormat="1" ht="12.75" x14ac:dyDescent="0.2">
      <c r="A544" s="225"/>
      <c r="B544" s="225" t="s">
        <v>834</v>
      </c>
      <c r="C544" s="226"/>
      <c r="D544" s="226">
        <v>0</v>
      </c>
      <c r="E544" s="226">
        <v>0</v>
      </c>
      <c r="F544" s="226">
        <v>0</v>
      </c>
      <c r="G544" s="226">
        <v>199.315584</v>
      </c>
      <c r="H544" s="227">
        <v>199.315584</v>
      </c>
      <c r="I544" s="226">
        <v>5452.7700530000002</v>
      </c>
      <c r="J544" s="226">
        <v>4998.3531549999998</v>
      </c>
      <c r="K544" s="226">
        <v>5148.30375</v>
      </c>
      <c r="L544" s="226">
        <v>5802.7528629999997</v>
      </c>
      <c r="M544" s="227">
        <v>21402.179820999998</v>
      </c>
      <c r="N544" s="226">
        <v>5902.7528629999997</v>
      </c>
      <c r="O544" s="226">
        <v>5302.7528629999997</v>
      </c>
      <c r="P544" s="226">
        <v>5302.7528629999997</v>
      </c>
      <c r="Q544" s="226">
        <v>5817.7528629999997</v>
      </c>
      <c r="R544" s="227">
        <v>22326.011451999999</v>
      </c>
      <c r="S544" s="226">
        <v>5902.7528629999997</v>
      </c>
      <c r="T544" s="226">
        <v>5302.7528629999997</v>
      </c>
      <c r="U544" s="226">
        <v>5302.7528629999997</v>
      </c>
      <c r="V544" s="226">
        <v>5833.2028630000004</v>
      </c>
      <c r="W544" s="227">
        <v>22341.461451999996</v>
      </c>
    </row>
    <row r="545" spans="1:23" s="224" customFormat="1" ht="12.75" x14ac:dyDescent="0.2">
      <c r="A545" s="225"/>
      <c r="B545" s="225" t="s">
        <v>835</v>
      </c>
      <c r="C545" s="226"/>
      <c r="D545" s="226">
        <v>0</v>
      </c>
      <c r="E545" s="226">
        <v>0</v>
      </c>
      <c r="F545" s="226">
        <v>0</v>
      </c>
      <c r="G545" s="226">
        <v>126.63764399999999</v>
      </c>
      <c r="H545" s="227">
        <v>126.63764399999999</v>
      </c>
      <c r="I545" s="226">
        <v>4719.0427289999998</v>
      </c>
      <c r="J545" s="226">
        <v>4242.6140109999997</v>
      </c>
      <c r="K545" s="226">
        <v>4369.8924310000002</v>
      </c>
      <c r="L545" s="226">
        <v>5000.9892040000004</v>
      </c>
      <c r="M545" s="227">
        <v>18332.538375</v>
      </c>
      <c r="N545" s="226">
        <v>5526.4476610000002</v>
      </c>
      <c r="O545" s="226">
        <v>4926.4476610000002</v>
      </c>
      <c r="P545" s="226">
        <v>4926.4476610000002</v>
      </c>
      <c r="Q545" s="226">
        <v>5441.4476610000002</v>
      </c>
      <c r="R545" s="227">
        <v>20820.790644000001</v>
      </c>
      <c r="S545" s="226">
        <v>5526.4476610000002</v>
      </c>
      <c r="T545" s="226">
        <v>4926.4476610000002</v>
      </c>
      <c r="U545" s="226">
        <v>4926.4476610000002</v>
      </c>
      <c r="V545" s="226">
        <v>5456.897661</v>
      </c>
      <c r="W545" s="227">
        <v>20836.240644000001</v>
      </c>
    </row>
    <row r="546" spans="1:23" s="224" customFormat="1" ht="12.75" x14ac:dyDescent="0.2">
      <c r="A546" s="225"/>
      <c r="B546" s="225" t="s">
        <v>836</v>
      </c>
      <c r="C546" s="226"/>
      <c r="D546" s="226">
        <v>0</v>
      </c>
      <c r="E546" s="226">
        <v>541.57253000000003</v>
      </c>
      <c r="F546" s="226">
        <v>66.278919999999999</v>
      </c>
      <c r="G546" s="226">
        <v>183.08847207999997</v>
      </c>
      <c r="H546" s="227">
        <v>790.93992207999997</v>
      </c>
      <c r="I546" s="226">
        <v>5520.2616580000004</v>
      </c>
      <c r="J546" s="226">
        <v>5067.8695079999998</v>
      </c>
      <c r="K546" s="226">
        <v>5219.9055930000004</v>
      </c>
      <c r="L546" s="226">
        <v>5876.5027609999997</v>
      </c>
      <c r="M546" s="227">
        <v>21684.539519999998</v>
      </c>
      <c r="N546" s="226">
        <v>5976.5027609999997</v>
      </c>
      <c r="O546" s="226">
        <v>5376.5027609999997</v>
      </c>
      <c r="P546" s="226">
        <v>5376.5027609999997</v>
      </c>
      <c r="Q546" s="226">
        <v>5891.5027609999997</v>
      </c>
      <c r="R546" s="227">
        <v>22621.011043999999</v>
      </c>
      <c r="S546" s="226">
        <v>5976.5027609999997</v>
      </c>
      <c r="T546" s="226">
        <v>5376.5027609999997</v>
      </c>
      <c r="U546" s="226">
        <v>5376.5027609999997</v>
      </c>
      <c r="V546" s="226">
        <v>5906.9527609999996</v>
      </c>
      <c r="W546" s="227">
        <v>22636.461044</v>
      </c>
    </row>
    <row r="547" spans="1:23" s="224" customFormat="1" ht="12.75" x14ac:dyDescent="0.2">
      <c r="A547" s="225"/>
      <c r="B547" s="225" t="s">
        <v>837</v>
      </c>
      <c r="C547" s="226"/>
      <c r="D547" s="226">
        <v>0</v>
      </c>
      <c r="E547" s="226">
        <v>2302.2878620000001</v>
      </c>
      <c r="F547" s="226">
        <v>222.62346400000001</v>
      </c>
      <c r="G547" s="226">
        <v>1211.7398089999999</v>
      </c>
      <c r="H547" s="227">
        <v>3736.6511350000001</v>
      </c>
      <c r="I547" s="226">
        <v>6105.7019959999998</v>
      </c>
      <c r="J547" s="226">
        <v>5670.8730560000004</v>
      </c>
      <c r="K547" s="226">
        <v>5840.9992480000001</v>
      </c>
      <c r="L547" s="226">
        <v>6516.2292260000004</v>
      </c>
      <c r="M547" s="227">
        <v>24133.803526</v>
      </c>
      <c r="N547" s="226">
        <v>6616.2292260000004</v>
      </c>
      <c r="O547" s="226">
        <v>6016.2292260000004</v>
      </c>
      <c r="P547" s="226">
        <v>6016.2292260000004</v>
      </c>
      <c r="Q547" s="226">
        <v>6531.2292260000004</v>
      </c>
      <c r="R547" s="227">
        <v>25179.916904000002</v>
      </c>
      <c r="S547" s="226">
        <v>6616.2292260000004</v>
      </c>
      <c r="T547" s="226">
        <v>6016.2292260000004</v>
      </c>
      <c r="U547" s="226">
        <v>6016.2292260000004</v>
      </c>
      <c r="V547" s="226">
        <v>6546.6792260000002</v>
      </c>
      <c r="W547" s="227">
        <v>25195.366904000002</v>
      </c>
    </row>
    <row r="548" spans="1:23" s="224" customFormat="1" ht="12.75" x14ac:dyDescent="0.2">
      <c r="A548" s="225"/>
      <c r="B548" s="225" t="s">
        <v>838</v>
      </c>
      <c r="C548" s="226"/>
      <c r="D548" s="226">
        <v>0</v>
      </c>
      <c r="E548" s="226">
        <v>0</v>
      </c>
      <c r="F548" s="226">
        <v>0</v>
      </c>
      <c r="G548" s="226">
        <v>4318.7884999999997</v>
      </c>
      <c r="H548" s="227">
        <v>4318.7884999999997</v>
      </c>
      <c r="I548" s="226">
        <v>6088.8704699999998</v>
      </c>
      <c r="J548" s="226">
        <v>5653.5365840000004</v>
      </c>
      <c r="K548" s="226">
        <v>5823.1426810000003</v>
      </c>
      <c r="L548" s="226">
        <v>6497.8369620000003</v>
      </c>
      <c r="M548" s="227">
        <v>24063.386697000002</v>
      </c>
      <c r="N548" s="226">
        <v>6597.8369620000003</v>
      </c>
      <c r="O548" s="226">
        <v>5997.8369620000003</v>
      </c>
      <c r="P548" s="226">
        <v>5997.8369620000003</v>
      </c>
      <c r="Q548" s="226">
        <v>6512.8369620000003</v>
      </c>
      <c r="R548" s="227">
        <v>25106.347848000001</v>
      </c>
      <c r="S548" s="226">
        <v>6597.8369620000003</v>
      </c>
      <c r="T548" s="226">
        <v>5997.8369620000003</v>
      </c>
      <c r="U548" s="226">
        <v>5997.8369620000003</v>
      </c>
      <c r="V548" s="226">
        <v>6528.2869620000001</v>
      </c>
      <c r="W548" s="227">
        <v>25121.797848000002</v>
      </c>
    </row>
    <row r="549" spans="1:23" s="224" customFormat="1" ht="12.75" x14ac:dyDescent="0.2">
      <c r="A549" s="225"/>
      <c r="B549" s="225" t="s">
        <v>839</v>
      </c>
      <c r="C549" s="226"/>
      <c r="D549" s="226">
        <v>0</v>
      </c>
      <c r="E549" s="226">
        <v>0</v>
      </c>
      <c r="F549" s="226">
        <v>0</v>
      </c>
      <c r="G549" s="226">
        <v>79.577588000000006</v>
      </c>
      <c r="H549" s="227">
        <v>79.577588000000006</v>
      </c>
      <c r="I549" s="226">
        <v>5370.5708720000002</v>
      </c>
      <c r="J549" s="226">
        <v>4913.6879980000003</v>
      </c>
      <c r="K549" s="226">
        <v>5061.0986380000004</v>
      </c>
      <c r="L549" s="226">
        <v>5712.9315969999998</v>
      </c>
      <c r="M549" s="227">
        <v>21058.289105</v>
      </c>
      <c r="N549" s="226">
        <v>5812.9315969999998</v>
      </c>
      <c r="O549" s="226">
        <v>5212.9315969999998</v>
      </c>
      <c r="P549" s="226">
        <v>5212.9315969999998</v>
      </c>
      <c r="Q549" s="226">
        <v>5727.9315969999998</v>
      </c>
      <c r="R549" s="227">
        <v>21966.726387999999</v>
      </c>
      <c r="S549" s="226">
        <v>5812.9315969999998</v>
      </c>
      <c r="T549" s="226">
        <v>5212.9315969999998</v>
      </c>
      <c r="U549" s="226">
        <v>5212.9315969999998</v>
      </c>
      <c r="V549" s="226">
        <v>5743.3815969999996</v>
      </c>
      <c r="W549" s="227">
        <v>21982.176388</v>
      </c>
    </row>
    <row r="550" spans="1:23" s="224" customFormat="1" ht="12.75" x14ac:dyDescent="0.2">
      <c r="A550" s="225"/>
      <c r="B550" s="225" t="s">
        <v>840</v>
      </c>
      <c r="C550" s="226"/>
      <c r="D550" s="226">
        <v>0</v>
      </c>
      <c r="E550" s="226">
        <v>0</v>
      </c>
      <c r="F550" s="226">
        <v>0</v>
      </c>
      <c r="G550" s="226">
        <v>162.32208900000001</v>
      </c>
      <c r="H550" s="227">
        <v>162.32208900000001</v>
      </c>
      <c r="I550" s="226">
        <v>5512.3310760000004</v>
      </c>
      <c r="J550" s="226">
        <v>5059.7010090000003</v>
      </c>
      <c r="K550" s="226">
        <v>5211.4920389999997</v>
      </c>
      <c r="L550" s="226">
        <v>5867.8368</v>
      </c>
      <c r="M550" s="227">
        <v>21651.360924000001</v>
      </c>
      <c r="N550" s="226">
        <v>5967.8368</v>
      </c>
      <c r="O550" s="226">
        <v>5367.8368</v>
      </c>
      <c r="P550" s="226">
        <v>5367.8368</v>
      </c>
      <c r="Q550" s="226">
        <v>5882.8368</v>
      </c>
      <c r="R550" s="227">
        <v>22586.3472</v>
      </c>
      <c r="S550" s="226">
        <v>5967.8368</v>
      </c>
      <c r="T550" s="226">
        <v>5367.8368</v>
      </c>
      <c r="U550" s="226">
        <v>5367.8368</v>
      </c>
      <c r="V550" s="226">
        <v>5898.2867999999999</v>
      </c>
      <c r="W550" s="227">
        <v>22601.797200000001</v>
      </c>
    </row>
    <row r="551" spans="1:23" s="224" customFormat="1" ht="12.75" x14ac:dyDescent="0.2">
      <c r="A551" s="225"/>
      <c r="B551" s="225" t="s">
        <v>606</v>
      </c>
      <c r="C551" s="226"/>
      <c r="D551" s="226">
        <v>0</v>
      </c>
      <c r="E551" s="226">
        <v>0</v>
      </c>
      <c r="F551" s="226">
        <v>0</v>
      </c>
      <c r="G551" s="226">
        <v>163.97273507999998</v>
      </c>
      <c r="H551" s="227">
        <v>163.97273507999998</v>
      </c>
      <c r="I551" s="226">
        <v>5520.2616580000004</v>
      </c>
      <c r="J551" s="226">
        <v>5067.8695079999998</v>
      </c>
      <c r="K551" s="226">
        <v>5219.9055930000004</v>
      </c>
      <c r="L551" s="226">
        <v>5876.5027609999997</v>
      </c>
      <c r="M551" s="227">
        <v>21684.539519999998</v>
      </c>
      <c r="N551" s="226">
        <v>5976.5027609999997</v>
      </c>
      <c r="O551" s="226">
        <v>5376.5027609999997</v>
      </c>
      <c r="P551" s="226">
        <v>5376.5027609999997</v>
      </c>
      <c r="Q551" s="226">
        <v>5891.5027609999997</v>
      </c>
      <c r="R551" s="227">
        <v>22621.011043999999</v>
      </c>
      <c r="S551" s="226">
        <v>5976.5027609999997</v>
      </c>
      <c r="T551" s="226">
        <v>5376.5027609999997</v>
      </c>
      <c r="U551" s="226">
        <v>5376.5027609999997</v>
      </c>
      <c r="V551" s="226">
        <v>5906.9527609999996</v>
      </c>
      <c r="W551" s="227">
        <v>22636.461044</v>
      </c>
    </row>
    <row r="552" spans="1:23" s="224" customFormat="1" ht="12.75" x14ac:dyDescent="0.2">
      <c r="A552" s="225"/>
      <c r="B552" s="225" t="s">
        <v>841</v>
      </c>
      <c r="C552" s="226"/>
      <c r="D552" s="226">
        <v>0</v>
      </c>
      <c r="E552" s="226">
        <v>0</v>
      </c>
      <c r="F552" s="226">
        <v>0</v>
      </c>
      <c r="G552" s="226">
        <v>754.75061400000004</v>
      </c>
      <c r="H552" s="227">
        <v>754.75061400000004</v>
      </c>
      <c r="I552" s="226">
        <v>5918.564069</v>
      </c>
      <c r="J552" s="226">
        <v>5478.1209909999998</v>
      </c>
      <c r="K552" s="226">
        <v>5642.4646210000001</v>
      </c>
      <c r="L552" s="226">
        <v>6311.7385599999998</v>
      </c>
      <c r="M552" s="227">
        <v>23350.888241000001</v>
      </c>
      <c r="N552" s="226">
        <v>6411.7385599999998</v>
      </c>
      <c r="O552" s="226">
        <v>5811.7385599999998</v>
      </c>
      <c r="P552" s="226">
        <v>5811.7385599999998</v>
      </c>
      <c r="Q552" s="226">
        <v>6326.7385599999998</v>
      </c>
      <c r="R552" s="227">
        <v>24361.954239999999</v>
      </c>
      <c r="S552" s="226">
        <v>6411.7385599999998</v>
      </c>
      <c r="T552" s="226">
        <v>5811.7385599999998</v>
      </c>
      <c r="U552" s="226">
        <v>5811.7385599999998</v>
      </c>
      <c r="V552" s="226">
        <v>6342.1885599999996</v>
      </c>
      <c r="W552" s="227">
        <v>24377.40424</v>
      </c>
    </row>
    <row r="553" spans="1:23" s="224" customFormat="1" ht="12.75" x14ac:dyDescent="0.2">
      <c r="A553" s="225"/>
      <c r="B553" s="225" t="s">
        <v>842</v>
      </c>
      <c r="C553" s="226"/>
      <c r="D553" s="226">
        <v>0</v>
      </c>
      <c r="E553" s="226">
        <v>0</v>
      </c>
      <c r="F553" s="226">
        <v>1282.461978</v>
      </c>
      <c r="G553" s="226">
        <v>147.91121100000001</v>
      </c>
      <c r="H553" s="227">
        <v>1430.3731890000001</v>
      </c>
      <c r="I553" s="226">
        <v>4702.3485469999996</v>
      </c>
      <c r="J553" s="226">
        <v>5025.4190040000003</v>
      </c>
      <c r="K553" s="226">
        <v>5176.1815740000002</v>
      </c>
      <c r="L553" s="226">
        <v>5831.4670210000004</v>
      </c>
      <c r="M553" s="227">
        <v>20735.416146000003</v>
      </c>
      <c r="N553" s="226">
        <v>6356.9254769999998</v>
      </c>
      <c r="O553" s="226">
        <v>5756.9254769999998</v>
      </c>
      <c r="P553" s="226">
        <v>5756.9254769999998</v>
      </c>
      <c r="Q553" s="226">
        <v>6271.9254769999998</v>
      </c>
      <c r="R553" s="227">
        <v>24142.701907999999</v>
      </c>
      <c r="S553" s="226">
        <v>6356.9254769999998</v>
      </c>
      <c r="T553" s="226">
        <v>5756.9254769999998</v>
      </c>
      <c r="U553" s="226">
        <v>5756.9254769999998</v>
      </c>
      <c r="V553" s="226">
        <v>6287.3754769999996</v>
      </c>
      <c r="W553" s="227">
        <v>24158.151908</v>
      </c>
    </row>
    <row r="554" spans="1:23" s="224" customFormat="1" ht="12.75" x14ac:dyDescent="0.2">
      <c r="A554" s="225"/>
      <c r="B554" s="225" t="s">
        <v>843</v>
      </c>
      <c r="C554" s="226"/>
      <c r="D554" s="226">
        <v>0</v>
      </c>
      <c r="E554" s="226">
        <v>0</v>
      </c>
      <c r="F554" s="226">
        <v>0</v>
      </c>
      <c r="G554" s="226">
        <v>127.82107008</v>
      </c>
      <c r="H554" s="227">
        <v>127.82107008</v>
      </c>
      <c r="I554" s="226">
        <v>5520.2616580000004</v>
      </c>
      <c r="J554" s="226">
        <v>5067.8695079999998</v>
      </c>
      <c r="K554" s="226">
        <v>5219.9055930000004</v>
      </c>
      <c r="L554" s="226">
        <v>5876.5027609999997</v>
      </c>
      <c r="M554" s="227">
        <v>21684.539519999998</v>
      </c>
      <c r="N554" s="226">
        <v>5976.5027609999997</v>
      </c>
      <c r="O554" s="226">
        <v>5376.5027609999997</v>
      </c>
      <c r="P554" s="226">
        <v>5376.5027609999997</v>
      </c>
      <c r="Q554" s="226">
        <v>5891.5027609999997</v>
      </c>
      <c r="R554" s="227">
        <v>22621.011043999999</v>
      </c>
      <c r="S554" s="226">
        <v>5976.5027609999997</v>
      </c>
      <c r="T554" s="226">
        <v>5376.5027609999997</v>
      </c>
      <c r="U554" s="226">
        <v>5376.5027609999997</v>
      </c>
      <c r="V554" s="226">
        <v>5906.9527609999996</v>
      </c>
      <c r="W554" s="227">
        <v>22636.461044</v>
      </c>
    </row>
    <row r="555" spans="1:23" s="224" customFormat="1" ht="12.75" x14ac:dyDescent="0.2">
      <c r="A555" s="225"/>
      <c r="B555" s="225" t="s">
        <v>844</v>
      </c>
      <c r="C555" s="226"/>
      <c r="D555" s="226">
        <v>0</v>
      </c>
      <c r="E555" s="226">
        <v>98.498949999999994</v>
      </c>
      <c r="F555" s="226">
        <v>0</v>
      </c>
      <c r="G555" s="226">
        <v>133.236097</v>
      </c>
      <c r="H555" s="227">
        <v>231.73504700000001</v>
      </c>
      <c r="I555" s="226">
        <v>5450.4679409999999</v>
      </c>
      <c r="J555" s="226">
        <v>4995.9819799999996</v>
      </c>
      <c r="K555" s="226">
        <v>5145.8614390000002</v>
      </c>
      <c r="L555" s="226">
        <v>5800.2372820000001</v>
      </c>
      <c r="M555" s="227">
        <v>21392.548642000002</v>
      </c>
      <c r="N555" s="226">
        <v>5900.2372820000001</v>
      </c>
      <c r="O555" s="226">
        <v>5300.2372820000001</v>
      </c>
      <c r="P555" s="226">
        <v>5300.2372820000001</v>
      </c>
      <c r="Q555" s="226">
        <v>5815.2372820000001</v>
      </c>
      <c r="R555" s="227">
        <v>22315.949128</v>
      </c>
      <c r="S555" s="226">
        <v>5900.2372820000001</v>
      </c>
      <c r="T555" s="226">
        <v>5300.2372820000001</v>
      </c>
      <c r="U555" s="226">
        <v>5300.2372820000001</v>
      </c>
      <c r="V555" s="226">
        <v>5830.6872819999999</v>
      </c>
      <c r="W555" s="227">
        <v>22331.399127999997</v>
      </c>
    </row>
    <row r="556" spans="1:23" s="224" customFormat="1" ht="12.75" x14ac:dyDescent="0.2">
      <c r="A556" s="225"/>
      <c r="B556" s="225" t="s">
        <v>845</v>
      </c>
      <c r="C556" s="226"/>
      <c r="D556" s="226">
        <v>0</v>
      </c>
      <c r="E556" s="226">
        <v>0</v>
      </c>
      <c r="F556" s="226">
        <v>0</v>
      </c>
      <c r="G556" s="226">
        <v>6033.3123839999998</v>
      </c>
      <c r="H556" s="227">
        <v>6033.3123839999998</v>
      </c>
      <c r="I556" s="226">
        <v>17388.605955999999</v>
      </c>
      <c r="J556" s="226">
        <v>4932.2641350000004</v>
      </c>
      <c r="K556" s="226">
        <v>5080.2320589999999</v>
      </c>
      <c r="L556" s="226">
        <v>5732.639021</v>
      </c>
      <c r="M556" s="227">
        <v>33133.741171000001</v>
      </c>
      <c r="N556" s="226">
        <v>5832.639021</v>
      </c>
      <c r="O556" s="226">
        <v>5232.639021</v>
      </c>
      <c r="P556" s="226">
        <v>5232.639021</v>
      </c>
      <c r="Q556" s="226">
        <v>5747.639021</v>
      </c>
      <c r="R556" s="227">
        <v>22045.556084</v>
      </c>
      <c r="S556" s="226">
        <v>5832.639021</v>
      </c>
      <c r="T556" s="226">
        <v>5232.639021</v>
      </c>
      <c r="U556" s="226">
        <v>5232.639021</v>
      </c>
      <c r="V556" s="226">
        <v>5763.0890209999998</v>
      </c>
      <c r="W556" s="227">
        <v>22061.006084000001</v>
      </c>
    </row>
    <row r="557" spans="1:23" s="224" customFormat="1" ht="12.75" x14ac:dyDescent="0.2">
      <c r="A557" s="225"/>
      <c r="B557" s="225" t="s">
        <v>846</v>
      </c>
      <c r="C557" s="226"/>
      <c r="D557" s="226">
        <v>0</v>
      </c>
      <c r="E557" s="226">
        <v>0</v>
      </c>
      <c r="F557" s="226">
        <v>0</v>
      </c>
      <c r="G557" s="226">
        <v>0</v>
      </c>
      <c r="H557" s="227">
        <v>0</v>
      </c>
      <c r="I557" s="226">
        <v>5388.6059560000003</v>
      </c>
      <c r="J557" s="226">
        <v>4932.2641350000004</v>
      </c>
      <c r="K557" s="226">
        <v>5080.2320589999999</v>
      </c>
      <c r="L557" s="226">
        <v>5732.639021</v>
      </c>
      <c r="M557" s="227">
        <v>21133.741171000001</v>
      </c>
      <c r="N557" s="226">
        <v>5832.639021</v>
      </c>
      <c r="O557" s="226">
        <v>5232.639021</v>
      </c>
      <c r="P557" s="226">
        <v>5232.639021</v>
      </c>
      <c r="Q557" s="226">
        <v>5747.639021</v>
      </c>
      <c r="R557" s="227">
        <v>22045.556084</v>
      </c>
      <c r="S557" s="226">
        <v>5832.639021</v>
      </c>
      <c r="T557" s="226">
        <v>5232.639021</v>
      </c>
      <c r="U557" s="226">
        <v>5232.639021</v>
      </c>
      <c r="V557" s="226">
        <v>5763.0890209999998</v>
      </c>
      <c r="W557" s="227">
        <v>22061.006084000001</v>
      </c>
    </row>
    <row r="558" spans="1:23" s="224" customFormat="1" ht="12.75" x14ac:dyDescent="0.2">
      <c r="A558" s="225"/>
      <c r="B558" s="225" t="s">
        <v>847</v>
      </c>
      <c r="C558" s="226"/>
      <c r="D558" s="226">
        <v>0</v>
      </c>
      <c r="E558" s="226">
        <v>0</v>
      </c>
      <c r="F558" s="226">
        <v>0</v>
      </c>
      <c r="G558" s="226">
        <v>110.4297</v>
      </c>
      <c r="H558" s="227">
        <v>110.4297</v>
      </c>
      <c r="I558" s="226">
        <v>5502.3485469999996</v>
      </c>
      <c r="J558" s="226">
        <v>5049.4190040000003</v>
      </c>
      <c r="K558" s="226">
        <v>5200.9015740000004</v>
      </c>
      <c r="L558" s="226">
        <v>5856.928621</v>
      </c>
      <c r="M558" s="227">
        <v>21609.597745999999</v>
      </c>
      <c r="N558" s="226">
        <v>6382.3870770000003</v>
      </c>
      <c r="O558" s="226">
        <v>5782.3870770000003</v>
      </c>
      <c r="P558" s="226">
        <v>5782.3870770000003</v>
      </c>
      <c r="Q558" s="226">
        <v>6297.3870770000003</v>
      </c>
      <c r="R558" s="227">
        <v>24244.548308000001</v>
      </c>
      <c r="S558" s="226">
        <v>6382.3870770000003</v>
      </c>
      <c r="T558" s="226">
        <v>5782.3870770000003</v>
      </c>
      <c r="U558" s="226">
        <v>5782.3870770000003</v>
      </c>
      <c r="V558" s="226">
        <v>6312.8370770000001</v>
      </c>
      <c r="W558" s="227">
        <v>24259.998308000002</v>
      </c>
    </row>
    <row r="559" spans="1:23" s="224" customFormat="1" ht="12.75" x14ac:dyDescent="0.2">
      <c r="A559" s="225"/>
      <c r="B559" s="225" t="s">
        <v>848</v>
      </c>
      <c r="C559" s="226"/>
      <c r="D559" s="226">
        <v>0</v>
      </c>
      <c r="E559" s="226">
        <v>0</v>
      </c>
      <c r="F559" s="226">
        <v>0</v>
      </c>
      <c r="G559" s="226">
        <v>157.22457499999999</v>
      </c>
      <c r="H559" s="227">
        <v>157.22457499999999</v>
      </c>
      <c r="I559" s="226">
        <v>5502.3485469999996</v>
      </c>
      <c r="J559" s="226">
        <v>5049.4190040000003</v>
      </c>
      <c r="K559" s="226">
        <v>5200.9015740000004</v>
      </c>
      <c r="L559" s="226">
        <v>5856.928621</v>
      </c>
      <c r="M559" s="227">
        <v>21609.597745999999</v>
      </c>
      <c r="N559" s="226">
        <v>6382.3870770000003</v>
      </c>
      <c r="O559" s="226">
        <v>5782.3870770000003</v>
      </c>
      <c r="P559" s="226">
        <v>5782.3870770000003</v>
      </c>
      <c r="Q559" s="226">
        <v>6297.3870770000003</v>
      </c>
      <c r="R559" s="227">
        <v>24244.548308000001</v>
      </c>
      <c r="S559" s="226">
        <v>6382.3870770000003</v>
      </c>
      <c r="T559" s="226">
        <v>5782.3870770000003</v>
      </c>
      <c r="U559" s="226">
        <v>5782.3870770000003</v>
      </c>
      <c r="V559" s="226">
        <v>6312.8370770000001</v>
      </c>
      <c r="W559" s="227">
        <v>24259.998308000002</v>
      </c>
    </row>
    <row r="560" spans="1:23" s="224" customFormat="1" ht="12.75" x14ac:dyDescent="0.2">
      <c r="A560" s="225"/>
      <c r="B560" s="225" t="s">
        <v>849</v>
      </c>
      <c r="C560" s="226"/>
      <c r="D560" s="226">
        <v>0</v>
      </c>
      <c r="E560" s="226">
        <v>0</v>
      </c>
      <c r="F560" s="226">
        <v>0</v>
      </c>
      <c r="G560" s="226">
        <v>49.774639000000001</v>
      </c>
      <c r="H560" s="227">
        <v>49.774639000000001</v>
      </c>
      <c r="I560" s="226">
        <v>5388.6059560000003</v>
      </c>
      <c r="J560" s="226">
        <v>4932.2641350000004</v>
      </c>
      <c r="K560" s="226">
        <v>5080.2320589999999</v>
      </c>
      <c r="L560" s="226">
        <v>5732.639021</v>
      </c>
      <c r="M560" s="227">
        <v>21133.741171000001</v>
      </c>
      <c r="N560" s="226">
        <v>5832.639021</v>
      </c>
      <c r="O560" s="226">
        <v>5232.639021</v>
      </c>
      <c r="P560" s="226">
        <v>5232.639021</v>
      </c>
      <c r="Q560" s="226">
        <v>5747.639021</v>
      </c>
      <c r="R560" s="227">
        <v>22045.556084</v>
      </c>
      <c r="S560" s="226">
        <v>5832.639021</v>
      </c>
      <c r="T560" s="226">
        <v>5232.639021</v>
      </c>
      <c r="U560" s="226">
        <v>5232.639021</v>
      </c>
      <c r="V560" s="226">
        <v>5763.0890209999998</v>
      </c>
      <c r="W560" s="227">
        <v>22061.006084000001</v>
      </c>
    </row>
    <row r="561" spans="1:23" s="224" customFormat="1" ht="12.75" x14ac:dyDescent="0.2">
      <c r="A561" s="225"/>
      <c r="B561" s="225" t="s">
        <v>850</v>
      </c>
      <c r="C561" s="226"/>
      <c r="D561" s="226">
        <v>0</v>
      </c>
      <c r="E561" s="226">
        <v>0</v>
      </c>
      <c r="F561" s="226">
        <v>0</v>
      </c>
      <c r="G561" s="226">
        <v>0</v>
      </c>
      <c r="H561" s="227">
        <v>0</v>
      </c>
      <c r="I561" s="226">
        <v>5388.6059560000003</v>
      </c>
      <c r="J561" s="226">
        <v>4932.2641350000004</v>
      </c>
      <c r="K561" s="226">
        <v>5080.2320589999999</v>
      </c>
      <c r="L561" s="226">
        <v>5732.639021</v>
      </c>
      <c r="M561" s="227">
        <v>21133.741171000001</v>
      </c>
      <c r="N561" s="226">
        <v>5832.639021</v>
      </c>
      <c r="O561" s="226">
        <v>5232.639021</v>
      </c>
      <c r="P561" s="226">
        <v>5232.639021</v>
      </c>
      <c r="Q561" s="226">
        <v>5747.639021</v>
      </c>
      <c r="R561" s="227">
        <v>22045.556084</v>
      </c>
      <c r="S561" s="226">
        <v>5832.639021</v>
      </c>
      <c r="T561" s="226">
        <v>5232.639021</v>
      </c>
      <c r="U561" s="226">
        <v>5232.639021</v>
      </c>
      <c r="V561" s="226">
        <v>5763.0890209999998</v>
      </c>
      <c r="W561" s="227">
        <v>22061.006084000001</v>
      </c>
    </row>
    <row r="562" spans="1:23" s="224" customFormat="1" ht="12.75" x14ac:dyDescent="0.2">
      <c r="A562" s="225"/>
      <c r="B562" s="225" t="s">
        <v>851</v>
      </c>
      <c r="C562" s="226"/>
      <c r="D562" s="226">
        <v>0</v>
      </c>
      <c r="E562" s="226">
        <v>0</v>
      </c>
      <c r="F562" s="226">
        <v>0</v>
      </c>
      <c r="G562" s="226">
        <v>60.050212000000002</v>
      </c>
      <c r="H562" s="227">
        <v>60.050212000000002</v>
      </c>
      <c r="I562" s="226">
        <v>5388.6059560000003</v>
      </c>
      <c r="J562" s="226">
        <v>4932.2641350000004</v>
      </c>
      <c r="K562" s="226">
        <v>5080.2320589999999</v>
      </c>
      <c r="L562" s="226">
        <v>5732.639021</v>
      </c>
      <c r="M562" s="227">
        <v>21133.741171000001</v>
      </c>
      <c r="N562" s="226">
        <v>5832.639021</v>
      </c>
      <c r="O562" s="226">
        <v>5232.639021</v>
      </c>
      <c r="P562" s="226">
        <v>5232.639021</v>
      </c>
      <c r="Q562" s="226">
        <v>5747.639021</v>
      </c>
      <c r="R562" s="227">
        <v>22045.556084</v>
      </c>
      <c r="S562" s="226">
        <v>5832.639021</v>
      </c>
      <c r="T562" s="226">
        <v>5232.639021</v>
      </c>
      <c r="U562" s="226">
        <v>5232.639021</v>
      </c>
      <c r="V562" s="226">
        <v>5763.0890209999998</v>
      </c>
      <c r="W562" s="227">
        <v>22061.006084000001</v>
      </c>
    </row>
    <row r="563" spans="1:23" s="224" customFormat="1" ht="12.75" x14ac:dyDescent="0.2">
      <c r="A563" s="225"/>
      <c r="B563" s="225" t="s">
        <v>852</v>
      </c>
      <c r="C563" s="226"/>
      <c r="D563" s="226">
        <v>0</v>
      </c>
      <c r="E563" s="226">
        <v>0</v>
      </c>
      <c r="F563" s="226">
        <v>0</v>
      </c>
      <c r="G563" s="226">
        <v>0</v>
      </c>
      <c r="H563" s="227">
        <v>0</v>
      </c>
      <c r="I563" s="226">
        <v>5388.6059560000003</v>
      </c>
      <c r="J563" s="226">
        <v>4932.2641350000004</v>
      </c>
      <c r="K563" s="226">
        <v>5080.2320589999999</v>
      </c>
      <c r="L563" s="226">
        <v>5732.639021</v>
      </c>
      <c r="M563" s="227">
        <v>21133.741171000001</v>
      </c>
      <c r="N563" s="226">
        <v>5832.639021</v>
      </c>
      <c r="O563" s="226">
        <v>5232.639021</v>
      </c>
      <c r="P563" s="226">
        <v>5232.639021</v>
      </c>
      <c r="Q563" s="226">
        <v>5747.639021</v>
      </c>
      <c r="R563" s="227">
        <v>22045.556084</v>
      </c>
      <c r="S563" s="226">
        <v>5832.639021</v>
      </c>
      <c r="T563" s="226">
        <v>5232.639021</v>
      </c>
      <c r="U563" s="226">
        <v>5232.639021</v>
      </c>
      <c r="V563" s="226">
        <v>5763.0890209999998</v>
      </c>
      <c r="W563" s="227">
        <v>22061.006084000001</v>
      </c>
    </row>
    <row r="564" spans="1:23" s="224" customFormat="1" ht="12.75" x14ac:dyDescent="0.2">
      <c r="A564" s="225"/>
      <c r="B564" s="225" t="s">
        <v>853</v>
      </c>
      <c r="C564" s="226"/>
      <c r="D564" s="226">
        <v>0</v>
      </c>
      <c r="E564" s="226">
        <v>0</v>
      </c>
      <c r="F564" s="226">
        <v>0</v>
      </c>
      <c r="G564" s="226">
        <v>11.624806</v>
      </c>
      <c r="H564" s="227">
        <v>11.624806</v>
      </c>
      <c r="I564" s="226">
        <v>5388.6059560000003</v>
      </c>
      <c r="J564" s="226">
        <v>4932.2641350000004</v>
      </c>
      <c r="K564" s="226">
        <v>5080.2320589999999</v>
      </c>
      <c r="L564" s="226">
        <v>5732.639021</v>
      </c>
      <c r="M564" s="227">
        <v>21133.741171000001</v>
      </c>
      <c r="N564" s="226">
        <v>5832.639021</v>
      </c>
      <c r="O564" s="226">
        <v>5232.639021</v>
      </c>
      <c r="P564" s="226">
        <v>5232.639021</v>
      </c>
      <c r="Q564" s="226">
        <v>5747.639021</v>
      </c>
      <c r="R564" s="227">
        <v>22045.556084</v>
      </c>
      <c r="S564" s="226">
        <v>5832.639021</v>
      </c>
      <c r="T564" s="226">
        <v>5232.639021</v>
      </c>
      <c r="U564" s="226">
        <v>5232.639021</v>
      </c>
      <c r="V564" s="226">
        <v>5763.0890209999998</v>
      </c>
      <c r="W564" s="227">
        <v>22061.006084000001</v>
      </c>
    </row>
    <row r="565" spans="1:23" s="224" customFormat="1" ht="12.75" x14ac:dyDescent="0.2">
      <c r="A565" s="225"/>
      <c r="B565" s="225" t="s">
        <v>854</v>
      </c>
      <c r="C565" s="226"/>
      <c r="D565" s="226">
        <v>0</v>
      </c>
      <c r="E565" s="226">
        <v>0</v>
      </c>
      <c r="F565" s="226">
        <v>0</v>
      </c>
      <c r="G565" s="226">
        <v>84.497669000000002</v>
      </c>
      <c r="H565" s="227">
        <v>84.497669000000002</v>
      </c>
      <c r="I565" s="226">
        <v>5448.70831</v>
      </c>
      <c r="J565" s="226">
        <v>4994.1695600000003</v>
      </c>
      <c r="K565" s="226">
        <v>5143.9946470000004</v>
      </c>
      <c r="L565" s="226">
        <v>5798.3144869999996</v>
      </c>
      <c r="M565" s="227">
        <v>21385.187003999999</v>
      </c>
      <c r="N565" s="226">
        <v>5898.3144869999996</v>
      </c>
      <c r="O565" s="226">
        <v>5298.3144869999996</v>
      </c>
      <c r="P565" s="226">
        <v>5298.3144869999996</v>
      </c>
      <c r="Q565" s="226">
        <v>5813.3144869999996</v>
      </c>
      <c r="R565" s="227">
        <v>22308.257947999999</v>
      </c>
      <c r="S565" s="226">
        <v>5898.3144869999996</v>
      </c>
      <c r="T565" s="226">
        <v>5298.3144869999996</v>
      </c>
      <c r="U565" s="226">
        <v>5298.3144869999996</v>
      </c>
      <c r="V565" s="226">
        <v>5828.7644870000004</v>
      </c>
      <c r="W565" s="227">
        <v>22323.707947999999</v>
      </c>
    </row>
    <row r="566" spans="1:23" s="224" customFormat="1" ht="12.75" x14ac:dyDescent="0.2">
      <c r="A566" s="225"/>
      <c r="B566" s="225" t="s">
        <v>855</v>
      </c>
      <c r="C566" s="226"/>
      <c r="D566" s="226">
        <v>0</v>
      </c>
      <c r="E566" s="226">
        <v>0</v>
      </c>
      <c r="F566" s="226">
        <v>0</v>
      </c>
      <c r="G566" s="226">
        <v>11.624806</v>
      </c>
      <c r="H566" s="227">
        <v>11.624806</v>
      </c>
      <c r="I566" s="226">
        <v>5388.6059560000003</v>
      </c>
      <c r="J566" s="226">
        <v>4932.2641350000004</v>
      </c>
      <c r="K566" s="226">
        <v>5080.2320589999999</v>
      </c>
      <c r="L566" s="226">
        <v>5732.639021</v>
      </c>
      <c r="M566" s="227">
        <v>21133.741171000001</v>
      </c>
      <c r="N566" s="226">
        <v>5832.639021</v>
      </c>
      <c r="O566" s="226">
        <v>5232.639021</v>
      </c>
      <c r="P566" s="226">
        <v>5232.639021</v>
      </c>
      <c r="Q566" s="226">
        <v>5747.639021</v>
      </c>
      <c r="R566" s="227">
        <v>22045.556084</v>
      </c>
      <c r="S566" s="226">
        <v>5832.639021</v>
      </c>
      <c r="T566" s="226">
        <v>5232.639021</v>
      </c>
      <c r="U566" s="226">
        <v>5232.639021</v>
      </c>
      <c r="V566" s="226">
        <v>5763.0890209999998</v>
      </c>
      <c r="W566" s="227">
        <v>22061.006084000001</v>
      </c>
    </row>
    <row r="567" spans="1:23" s="224" customFormat="1" ht="12.75" x14ac:dyDescent="0.2">
      <c r="A567" s="225"/>
      <c r="B567" s="225" t="s">
        <v>856</v>
      </c>
      <c r="C567" s="226"/>
      <c r="D567" s="226">
        <v>0</v>
      </c>
      <c r="E567" s="226">
        <v>0</v>
      </c>
      <c r="F567" s="226">
        <v>0</v>
      </c>
      <c r="G567" s="226">
        <v>60.060180000000003</v>
      </c>
      <c r="H567" s="227">
        <v>60.060180000000003</v>
      </c>
      <c r="I567" s="226">
        <v>5450.4679409999999</v>
      </c>
      <c r="J567" s="226">
        <v>4995.9819799999996</v>
      </c>
      <c r="K567" s="226">
        <v>5145.8614390000002</v>
      </c>
      <c r="L567" s="226">
        <v>5800.2372820000001</v>
      </c>
      <c r="M567" s="227">
        <v>21392.548642000002</v>
      </c>
      <c r="N567" s="226">
        <v>5900.2372820000001</v>
      </c>
      <c r="O567" s="226">
        <v>5300.2372820000001</v>
      </c>
      <c r="P567" s="226">
        <v>5300.2372820000001</v>
      </c>
      <c r="Q567" s="226">
        <v>5815.2372820000001</v>
      </c>
      <c r="R567" s="227">
        <v>22315.949128</v>
      </c>
      <c r="S567" s="226">
        <v>5900.2372820000001</v>
      </c>
      <c r="T567" s="226">
        <v>5300.2372820000001</v>
      </c>
      <c r="U567" s="226">
        <v>5300.2372820000001</v>
      </c>
      <c r="V567" s="226">
        <v>5830.6872819999999</v>
      </c>
      <c r="W567" s="227">
        <v>22331.399127999997</v>
      </c>
    </row>
    <row r="568" spans="1:23" s="224" customFormat="1" ht="12.75" x14ac:dyDescent="0.2">
      <c r="A568" s="225"/>
      <c r="B568" s="225" t="s">
        <v>857</v>
      </c>
      <c r="C568" s="226"/>
      <c r="D568" s="226">
        <v>0</v>
      </c>
      <c r="E568" s="226">
        <v>0</v>
      </c>
      <c r="F568" s="226">
        <v>0</v>
      </c>
      <c r="G568" s="226">
        <v>147.980265</v>
      </c>
      <c r="H568" s="227">
        <v>147.980265</v>
      </c>
      <c r="I568" s="226">
        <v>5462.3039259999996</v>
      </c>
      <c r="J568" s="226">
        <v>5008.1730440000001</v>
      </c>
      <c r="K568" s="226">
        <v>5158.4182350000001</v>
      </c>
      <c r="L568" s="226">
        <v>5813.1707820000001</v>
      </c>
      <c r="M568" s="227">
        <v>21442.065987000002</v>
      </c>
      <c r="N568" s="226">
        <v>5913.1707820000001</v>
      </c>
      <c r="O568" s="226">
        <v>5313.1707820000001</v>
      </c>
      <c r="P568" s="226">
        <v>5313.1707820000001</v>
      </c>
      <c r="Q568" s="226">
        <v>5828.1707820000001</v>
      </c>
      <c r="R568" s="227">
        <v>22367.683128000001</v>
      </c>
      <c r="S568" s="226">
        <v>5913.1707820000001</v>
      </c>
      <c r="T568" s="226">
        <v>5313.1707820000001</v>
      </c>
      <c r="U568" s="226">
        <v>5313.1707820000001</v>
      </c>
      <c r="V568" s="226">
        <v>5843.620782</v>
      </c>
      <c r="W568" s="227">
        <v>22383.133128000001</v>
      </c>
    </row>
    <row r="569" spans="1:23" s="224" customFormat="1" ht="12.75" x14ac:dyDescent="0.2">
      <c r="A569" s="225"/>
      <c r="B569" s="225" t="s">
        <v>858</v>
      </c>
      <c r="C569" s="226"/>
      <c r="D569" s="226">
        <v>0</v>
      </c>
      <c r="E569" s="226">
        <v>11049.489441</v>
      </c>
      <c r="F569" s="226">
        <v>157.07812300000001</v>
      </c>
      <c r="G569" s="226">
        <v>2414.9619889999999</v>
      </c>
      <c r="H569" s="227">
        <v>13621.529552999998</v>
      </c>
      <c r="I569" s="226">
        <v>6081.3701129999999</v>
      </c>
      <c r="J569" s="226">
        <v>5645.8112170000004</v>
      </c>
      <c r="K569" s="226">
        <v>5815.1855530000003</v>
      </c>
      <c r="L569" s="226">
        <v>6489.6411200000002</v>
      </c>
      <c r="M569" s="227">
        <v>24032.008002999999</v>
      </c>
      <c r="N569" s="226">
        <v>6589.6411200000002</v>
      </c>
      <c r="O569" s="226">
        <v>5989.6411200000002</v>
      </c>
      <c r="P569" s="226">
        <v>5989.6411200000002</v>
      </c>
      <c r="Q569" s="226">
        <v>6504.6411200000002</v>
      </c>
      <c r="R569" s="227">
        <v>25073.564480000001</v>
      </c>
      <c r="S569" s="226">
        <v>6589.6411200000002</v>
      </c>
      <c r="T569" s="226">
        <v>5989.6411200000002</v>
      </c>
      <c r="U569" s="226">
        <v>5989.6411200000002</v>
      </c>
      <c r="V569" s="226">
        <v>6520.09112</v>
      </c>
      <c r="W569" s="227">
        <v>25089.014480000002</v>
      </c>
    </row>
    <row r="570" spans="1:23" s="224" customFormat="1" ht="12.75" x14ac:dyDescent="0.2">
      <c r="A570" s="225"/>
      <c r="B570" s="225" t="s">
        <v>859</v>
      </c>
      <c r="C570" s="226"/>
      <c r="D570" s="226">
        <v>0</v>
      </c>
      <c r="E570" s="226">
        <v>0</v>
      </c>
      <c r="F570" s="226">
        <v>0</v>
      </c>
      <c r="G570" s="226">
        <v>0</v>
      </c>
      <c r="H570" s="227">
        <v>0</v>
      </c>
      <c r="I570" s="226">
        <v>5388.6059560000003</v>
      </c>
      <c r="J570" s="226">
        <v>4932.2641350000004</v>
      </c>
      <c r="K570" s="226">
        <v>5080.2320589999999</v>
      </c>
      <c r="L570" s="226">
        <v>5732.639021</v>
      </c>
      <c r="M570" s="227">
        <v>21133.741171000001</v>
      </c>
      <c r="N570" s="226">
        <v>5832.639021</v>
      </c>
      <c r="O570" s="226">
        <v>5232.639021</v>
      </c>
      <c r="P570" s="226">
        <v>5232.639021</v>
      </c>
      <c r="Q570" s="226">
        <v>5747.639021</v>
      </c>
      <c r="R570" s="227">
        <v>22045.556084</v>
      </c>
      <c r="S570" s="226">
        <v>5832.639021</v>
      </c>
      <c r="T570" s="226">
        <v>5232.639021</v>
      </c>
      <c r="U570" s="226">
        <v>5232.639021</v>
      </c>
      <c r="V570" s="226">
        <v>5763.0890209999998</v>
      </c>
      <c r="W570" s="227">
        <v>22061.006084000001</v>
      </c>
    </row>
    <row r="571" spans="1:23" s="224" customFormat="1" ht="12.75" x14ac:dyDescent="0.2">
      <c r="A571" s="225"/>
      <c r="B571" s="225" t="s">
        <v>860</v>
      </c>
      <c r="C571" s="226"/>
      <c r="D571" s="226">
        <v>0</v>
      </c>
      <c r="E571" s="226">
        <v>0</v>
      </c>
      <c r="F571" s="226">
        <v>0</v>
      </c>
      <c r="G571" s="226">
        <v>218.48231899999999</v>
      </c>
      <c r="H571" s="227">
        <v>218.48231899999999</v>
      </c>
      <c r="I571" s="226">
        <v>5453.9321499999996</v>
      </c>
      <c r="J571" s="226">
        <v>4999.550115</v>
      </c>
      <c r="K571" s="226">
        <v>5149.5366180000001</v>
      </c>
      <c r="L571" s="226">
        <v>5804.0227169999998</v>
      </c>
      <c r="M571" s="227">
        <v>21407.041599999997</v>
      </c>
      <c r="N571" s="226">
        <v>5904.0227169999998</v>
      </c>
      <c r="O571" s="226">
        <v>5304.0227169999998</v>
      </c>
      <c r="P571" s="226">
        <v>5304.0227169999998</v>
      </c>
      <c r="Q571" s="226">
        <v>5819.0227169999998</v>
      </c>
      <c r="R571" s="227">
        <v>22331.090867999999</v>
      </c>
      <c r="S571" s="226">
        <v>5904.0227169999998</v>
      </c>
      <c r="T571" s="226">
        <v>5304.0227169999998</v>
      </c>
      <c r="U571" s="226">
        <v>5304.0227169999998</v>
      </c>
      <c r="V571" s="226">
        <v>5834.4727169999996</v>
      </c>
      <c r="W571" s="227">
        <v>22346.540868</v>
      </c>
    </row>
    <row r="572" spans="1:23" s="224" customFormat="1" ht="12.75" x14ac:dyDescent="0.2">
      <c r="A572" s="225"/>
      <c r="B572" s="225" t="s">
        <v>861</v>
      </c>
      <c r="C572" s="226"/>
      <c r="D572" s="226">
        <v>133.176253</v>
      </c>
      <c r="E572" s="226">
        <v>3.9455239999999998</v>
      </c>
      <c r="F572" s="226">
        <v>1159.165902</v>
      </c>
      <c r="G572" s="226">
        <v>465.71920699999998</v>
      </c>
      <c r="H572" s="227">
        <v>1762.0068860000001</v>
      </c>
      <c r="I572" s="226">
        <v>5527.4189779999997</v>
      </c>
      <c r="J572" s="226">
        <v>5075.241548</v>
      </c>
      <c r="K572" s="226">
        <v>5227.4987940000001</v>
      </c>
      <c r="L572" s="226">
        <v>5884.3237580000005</v>
      </c>
      <c r="M572" s="227">
        <v>21714.483077999997</v>
      </c>
      <c r="N572" s="226">
        <v>5984.3237580000005</v>
      </c>
      <c r="O572" s="226">
        <v>5384.3237580000005</v>
      </c>
      <c r="P572" s="226">
        <v>5384.3237580000005</v>
      </c>
      <c r="Q572" s="226">
        <v>5899.3237580000005</v>
      </c>
      <c r="R572" s="227">
        <v>22652.295032000002</v>
      </c>
      <c r="S572" s="226">
        <v>5984.3237580000005</v>
      </c>
      <c r="T572" s="226">
        <v>5384.3237580000005</v>
      </c>
      <c r="U572" s="226">
        <v>5384.3237580000005</v>
      </c>
      <c r="V572" s="226">
        <v>5914.7737580000003</v>
      </c>
      <c r="W572" s="227">
        <v>22667.745032000003</v>
      </c>
    </row>
    <row r="573" spans="1:23" s="224" customFormat="1" ht="12.75" x14ac:dyDescent="0.2">
      <c r="A573" s="225"/>
      <c r="B573" s="225" t="s">
        <v>862</v>
      </c>
      <c r="C573" s="226"/>
      <c r="D573" s="226">
        <v>0</v>
      </c>
      <c r="E573" s="226">
        <v>0</v>
      </c>
      <c r="F573" s="226">
        <v>0</v>
      </c>
      <c r="G573" s="226">
        <v>0</v>
      </c>
      <c r="H573" s="227">
        <v>0</v>
      </c>
      <c r="I573" s="226">
        <v>5388.6059560000003</v>
      </c>
      <c r="J573" s="226">
        <v>4932.2641350000004</v>
      </c>
      <c r="K573" s="226">
        <v>5080.2320589999999</v>
      </c>
      <c r="L573" s="226">
        <v>5732.639021</v>
      </c>
      <c r="M573" s="227">
        <v>21133.741171000001</v>
      </c>
      <c r="N573" s="226">
        <v>5832.639021</v>
      </c>
      <c r="O573" s="226">
        <v>5232.639021</v>
      </c>
      <c r="P573" s="226">
        <v>5232.639021</v>
      </c>
      <c r="Q573" s="226">
        <v>5747.639021</v>
      </c>
      <c r="R573" s="227">
        <v>22045.556084</v>
      </c>
      <c r="S573" s="226">
        <v>5832.639021</v>
      </c>
      <c r="T573" s="226">
        <v>5232.639021</v>
      </c>
      <c r="U573" s="226">
        <v>5232.639021</v>
      </c>
      <c r="V573" s="226">
        <v>5763.0890209999998</v>
      </c>
      <c r="W573" s="227">
        <v>22061.006084000001</v>
      </c>
    </row>
    <row r="574" spans="1:23" s="224" customFormat="1" ht="12.75" x14ac:dyDescent="0.2">
      <c r="A574" s="225"/>
      <c r="B574" s="225" t="s">
        <v>863</v>
      </c>
      <c r="C574" s="226"/>
      <c r="D574" s="226">
        <v>3411.8608899999999</v>
      </c>
      <c r="E574" s="226">
        <v>0</v>
      </c>
      <c r="F574" s="226">
        <v>0</v>
      </c>
      <c r="G574" s="226">
        <v>125.089738</v>
      </c>
      <c r="H574" s="227">
        <v>3536.9506280000001</v>
      </c>
      <c r="I574" s="226">
        <v>5450.4679409999999</v>
      </c>
      <c r="J574" s="226">
        <v>4995.9819799999996</v>
      </c>
      <c r="K574" s="226">
        <v>5145.8614390000002</v>
      </c>
      <c r="L574" s="226">
        <v>5800.2372820000001</v>
      </c>
      <c r="M574" s="227">
        <v>21392.548642000002</v>
      </c>
      <c r="N574" s="226">
        <v>5900.2372820000001</v>
      </c>
      <c r="O574" s="226">
        <v>5300.2372820000001</v>
      </c>
      <c r="P574" s="226">
        <v>5300.2372820000001</v>
      </c>
      <c r="Q574" s="226">
        <v>5815.2372820000001</v>
      </c>
      <c r="R574" s="227">
        <v>22315.949128</v>
      </c>
      <c r="S574" s="226">
        <v>5900.2372820000001</v>
      </c>
      <c r="T574" s="226">
        <v>5300.2372820000001</v>
      </c>
      <c r="U574" s="226">
        <v>5300.2372820000001</v>
      </c>
      <c r="V574" s="226">
        <v>5830.6872819999999</v>
      </c>
      <c r="W574" s="227">
        <v>22331.399127999997</v>
      </c>
    </row>
    <row r="575" spans="1:23" s="224" customFormat="1" ht="12.75" x14ac:dyDescent="0.2">
      <c r="A575" s="225"/>
      <c r="B575" s="225" t="s">
        <v>864</v>
      </c>
      <c r="C575" s="226"/>
      <c r="D575" s="226">
        <v>0</v>
      </c>
      <c r="E575" s="226">
        <v>0</v>
      </c>
      <c r="F575" s="226">
        <v>1197.7796619999999</v>
      </c>
      <c r="G575" s="226">
        <v>559.09778400000005</v>
      </c>
      <c r="H575" s="227">
        <v>1756.877446</v>
      </c>
      <c r="I575" s="226">
        <v>5964.4766739999995</v>
      </c>
      <c r="J575" s="226">
        <v>5525.4109749999998</v>
      </c>
      <c r="K575" s="226">
        <v>5691.1733039999999</v>
      </c>
      <c r="L575" s="226">
        <v>6361.9085029999997</v>
      </c>
      <c r="M575" s="227">
        <v>23542.969455999999</v>
      </c>
      <c r="N575" s="226">
        <v>6461.9085029999997</v>
      </c>
      <c r="O575" s="226">
        <v>5861.9085029999997</v>
      </c>
      <c r="P575" s="226">
        <v>5861.9085029999997</v>
      </c>
      <c r="Q575" s="226">
        <v>6376.9085029999997</v>
      </c>
      <c r="R575" s="227">
        <v>24562.634011999999</v>
      </c>
      <c r="S575" s="226">
        <v>6461.9085029999997</v>
      </c>
      <c r="T575" s="226">
        <v>5861.9085029999997</v>
      </c>
      <c r="U575" s="226">
        <v>5861.9085029999997</v>
      </c>
      <c r="V575" s="226">
        <v>6392.3585030000004</v>
      </c>
      <c r="W575" s="227">
        <v>24578.084011999999</v>
      </c>
    </row>
    <row r="576" spans="1:23" s="224" customFormat="1" ht="12.75" x14ac:dyDescent="0.2">
      <c r="A576" s="225"/>
      <c r="B576" s="225" t="s">
        <v>865</v>
      </c>
      <c r="C576" s="226"/>
      <c r="D576" s="226">
        <v>0</v>
      </c>
      <c r="E576" s="226">
        <v>0</v>
      </c>
      <c r="F576" s="226">
        <v>0</v>
      </c>
      <c r="G576" s="226">
        <v>127.683036</v>
      </c>
      <c r="H576" s="227">
        <v>127.683036</v>
      </c>
      <c r="I576" s="226">
        <v>5448.70831</v>
      </c>
      <c r="J576" s="226">
        <v>4994.1695600000003</v>
      </c>
      <c r="K576" s="226">
        <v>5143.9946470000004</v>
      </c>
      <c r="L576" s="226">
        <v>5798.3144869999996</v>
      </c>
      <c r="M576" s="227">
        <v>21385.187003999999</v>
      </c>
      <c r="N576" s="226">
        <v>5898.3144869999996</v>
      </c>
      <c r="O576" s="226">
        <v>5298.3144869999996</v>
      </c>
      <c r="P576" s="226">
        <v>5298.3144869999996</v>
      </c>
      <c r="Q576" s="226">
        <v>5813.3144869999996</v>
      </c>
      <c r="R576" s="227">
        <v>22308.257947999999</v>
      </c>
      <c r="S576" s="226">
        <v>5898.3144869999996</v>
      </c>
      <c r="T576" s="226">
        <v>5298.3144869999996</v>
      </c>
      <c r="U576" s="226">
        <v>5298.3144869999996</v>
      </c>
      <c r="V576" s="226">
        <v>5828.7644870000004</v>
      </c>
      <c r="W576" s="227">
        <v>22323.707947999999</v>
      </c>
    </row>
    <row r="577" spans="1:24" s="224" customFormat="1" ht="12.75" x14ac:dyDescent="0.2">
      <c r="A577" s="225"/>
      <c r="B577" s="225" t="s">
        <v>866</v>
      </c>
      <c r="C577" s="226"/>
      <c r="D577" s="226">
        <v>0</v>
      </c>
      <c r="E577" s="226">
        <v>0</v>
      </c>
      <c r="F577" s="226">
        <v>0</v>
      </c>
      <c r="G577" s="226">
        <v>0</v>
      </c>
      <c r="H577" s="227">
        <v>0</v>
      </c>
      <c r="I577" s="226">
        <v>5288.6059560000003</v>
      </c>
      <c r="J577" s="226">
        <v>4829.2641350000004</v>
      </c>
      <c r="K577" s="226">
        <v>4974.1420589999998</v>
      </c>
      <c r="L577" s="226">
        <v>5623.3663210000004</v>
      </c>
      <c r="M577" s="227">
        <v>20715.378471</v>
      </c>
      <c r="N577" s="226">
        <v>5723.3663210000004</v>
      </c>
      <c r="O577" s="226">
        <v>5123.3663210000004</v>
      </c>
      <c r="P577" s="226">
        <v>5123.3663210000004</v>
      </c>
      <c r="Q577" s="226">
        <v>5638.3663210000004</v>
      </c>
      <c r="R577" s="227">
        <v>21608.465284000002</v>
      </c>
      <c r="S577" s="226">
        <v>5723.3663210000004</v>
      </c>
      <c r="T577" s="226">
        <v>5123.3663210000004</v>
      </c>
      <c r="U577" s="226">
        <v>5123.3663210000004</v>
      </c>
      <c r="V577" s="226">
        <v>5653.8163210000002</v>
      </c>
      <c r="W577" s="227">
        <v>21623.915284000002</v>
      </c>
    </row>
    <row r="578" spans="1:24" s="224" customFormat="1" ht="12.75" x14ac:dyDescent="0.2">
      <c r="A578" s="225"/>
      <c r="B578" s="225" t="s">
        <v>867</v>
      </c>
      <c r="C578" s="226"/>
      <c r="D578" s="226">
        <v>0</v>
      </c>
      <c r="E578" s="226">
        <v>0</v>
      </c>
      <c r="F578" s="226">
        <v>0</v>
      </c>
      <c r="G578" s="226">
        <v>0</v>
      </c>
      <c r="H578" s="227">
        <v>0</v>
      </c>
      <c r="I578" s="226">
        <v>5388.6059560000003</v>
      </c>
      <c r="J578" s="226">
        <v>4932.2641350000004</v>
      </c>
      <c r="K578" s="226">
        <v>5080.2320589999999</v>
      </c>
      <c r="L578" s="226">
        <v>5732.639021</v>
      </c>
      <c r="M578" s="227">
        <v>21133.741171000001</v>
      </c>
      <c r="N578" s="226">
        <v>5832.639021</v>
      </c>
      <c r="O578" s="226">
        <v>5232.639021</v>
      </c>
      <c r="P578" s="226">
        <v>5232.639021</v>
      </c>
      <c r="Q578" s="226">
        <v>5747.639021</v>
      </c>
      <c r="R578" s="227">
        <v>22045.556084</v>
      </c>
      <c r="S578" s="226">
        <v>5832.639021</v>
      </c>
      <c r="T578" s="226">
        <v>5232.639021</v>
      </c>
      <c r="U578" s="226">
        <v>5232.639021</v>
      </c>
      <c r="V578" s="226">
        <v>5763.0890209999998</v>
      </c>
      <c r="W578" s="227">
        <v>22061.006084000001</v>
      </c>
    </row>
    <row r="579" spans="1:24" s="224" customFormat="1" ht="12.75" x14ac:dyDescent="0.2">
      <c r="A579" s="225"/>
      <c r="B579" s="225" t="s">
        <v>868</v>
      </c>
      <c r="C579" s="226"/>
      <c r="D579" s="226">
        <v>0</v>
      </c>
      <c r="E579" s="226">
        <v>0</v>
      </c>
      <c r="F579" s="226">
        <v>0</v>
      </c>
      <c r="G579" s="226">
        <v>58.351799999999997</v>
      </c>
      <c r="H579" s="227">
        <v>58.351799999999997</v>
      </c>
      <c r="I579" s="226">
        <v>5448.70831</v>
      </c>
      <c r="J579" s="226">
        <v>4994.1695600000003</v>
      </c>
      <c r="K579" s="226">
        <v>5143.9946470000004</v>
      </c>
      <c r="L579" s="226">
        <v>5798.3144869999996</v>
      </c>
      <c r="M579" s="227">
        <v>21385.187003999999</v>
      </c>
      <c r="N579" s="226">
        <v>5898.3144869999996</v>
      </c>
      <c r="O579" s="226">
        <v>5298.3144869999996</v>
      </c>
      <c r="P579" s="226">
        <v>5298.3144869999996</v>
      </c>
      <c r="Q579" s="226">
        <v>5813.3144869999996</v>
      </c>
      <c r="R579" s="227">
        <v>22308.257947999999</v>
      </c>
      <c r="S579" s="226">
        <v>5898.3144869999996</v>
      </c>
      <c r="T579" s="226">
        <v>5298.3144869999996</v>
      </c>
      <c r="U579" s="226">
        <v>5298.3144869999996</v>
      </c>
      <c r="V579" s="226">
        <v>5828.7644870000004</v>
      </c>
      <c r="W579" s="227">
        <v>22323.707947999999</v>
      </c>
    </row>
    <row r="580" spans="1:24" s="224" customFormat="1" ht="12.75" x14ac:dyDescent="0.2">
      <c r="A580" s="228"/>
      <c r="B580" s="225" t="s">
        <v>869</v>
      </c>
      <c r="C580" s="226"/>
      <c r="D580" s="226">
        <v>0</v>
      </c>
      <c r="E580" s="226">
        <v>63.09008</v>
      </c>
      <c r="F580" s="226">
        <v>0</v>
      </c>
      <c r="G580" s="226">
        <v>663.81539999999995</v>
      </c>
      <c r="H580" s="227">
        <v>726.9054799999999</v>
      </c>
      <c r="I580" s="226">
        <v>6072.3358179999996</v>
      </c>
      <c r="J580" s="226">
        <v>5636.5058929999996</v>
      </c>
      <c r="K580" s="226">
        <v>5805.6010699999997</v>
      </c>
      <c r="L580" s="226">
        <v>6479.7691020000002</v>
      </c>
      <c r="M580" s="227"/>
      <c r="N580" s="226">
        <v>6579.7691020000002</v>
      </c>
      <c r="O580" s="226">
        <v>5979.7691020000002</v>
      </c>
      <c r="P580" s="226">
        <v>5979.7691020000002</v>
      </c>
      <c r="Q580" s="226">
        <v>6494.7691020000002</v>
      </c>
      <c r="R580" s="227"/>
      <c r="S580" s="226">
        <v>6579.7691020000002</v>
      </c>
      <c r="T580" s="226">
        <v>5979.7691020000002</v>
      </c>
      <c r="U580" s="226">
        <v>5979.7691020000002</v>
      </c>
      <c r="V580" s="226">
        <v>6510.219102</v>
      </c>
      <c r="W580" s="227"/>
    </row>
    <row r="581" spans="1:24" s="224" customFormat="1" ht="12.75" x14ac:dyDescent="0.2">
      <c r="A581" s="229"/>
      <c r="B581" s="230" t="s">
        <v>870</v>
      </c>
      <c r="C581" s="231"/>
      <c r="D581" s="231">
        <v>0</v>
      </c>
      <c r="E581" s="231">
        <v>0</v>
      </c>
      <c r="F581" s="231">
        <v>0</v>
      </c>
      <c r="G581" s="231">
        <v>126.63764399999999</v>
      </c>
      <c r="H581" s="232"/>
      <c r="I581" s="231">
        <v>5519.0427289999998</v>
      </c>
      <c r="J581" s="231">
        <v>5066.6140109999997</v>
      </c>
      <c r="K581" s="231">
        <v>5218.6124309999996</v>
      </c>
      <c r="L581" s="231">
        <v>5875.1708040000003</v>
      </c>
      <c r="M581" s="232"/>
      <c r="N581" s="231">
        <v>6400.629261</v>
      </c>
      <c r="O581" s="231">
        <v>5800.629261</v>
      </c>
      <c r="P581" s="231">
        <v>5800.629261</v>
      </c>
      <c r="Q581" s="231">
        <v>6315.629261</v>
      </c>
      <c r="R581" s="232"/>
      <c r="S581" s="231">
        <v>6400.629261</v>
      </c>
      <c r="T581" s="231">
        <v>5800.629261</v>
      </c>
      <c r="U581" s="231">
        <v>5800.629261</v>
      </c>
      <c r="V581" s="231">
        <v>6331.0792609999999</v>
      </c>
      <c r="W581" s="232"/>
    </row>
    <row r="582" spans="1:24" s="187" customFormat="1" ht="24.95" customHeight="1" x14ac:dyDescent="0.2">
      <c r="A582" s="303" t="s">
        <v>872</v>
      </c>
      <c r="B582" s="304"/>
      <c r="C582" s="301"/>
      <c r="D582" s="301">
        <f>SUM(D583:D685)</f>
        <v>829.46060499999999</v>
      </c>
      <c r="E582" s="301">
        <f>SUM(E583:E685)</f>
        <v>0</v>
      </c>
      <c r="F582" s="301">
        <f>SUM(F583:F685)</f>
        <v>0</v>
      </c>
      <c r="G582" s="301">
        <f>SUM(G583:G685)</f>
        <v>3354.6999990000004</v>
      </c>
      <c r="H582" s="304">
        <f>SUM(D582:G582)</f>
        <v>4184.1606040000006</v>
      </c>
      <c r="I582" s="301">
        <f>SUM(I583:I685)</f>
        <v>8595</v>
      </c>
      <c r="J582" s="301">
        <f>SUM(J583:J685)</f>
        <v>7030</v>
      </c>
      <c r="K582" s="301">
        <f>SUM(K583:K685)</f>
        <v>6210</v>
      </c>
      <c r="L582" s="301">
        <f>SUM(L583:L685)</f>
        <v>5935</v>
      </c>
      <c r="M582" s="304">
        <f>SUM(I582:L582)</f>
        <v>27770</v>
      </c>
      <c r="N582" s="301">
        <f>SUM(N583:N685)</f>
        <v>5170</v>
      </c>
      <c r="O582" s="301">
        <f>SUM(O583:O685)</f>
        <v>5170</v>
      </c>
      <c r="P582" s="301">
        <f>SUM(P583:P685)</f>
        <v>5170</v>
      </c>
      <c r="Q582" s="301">
        <f>SUM(Q583:Q685)</f>
        <v>5170</v>
      </c>
      <c r="R582" s="304">
        <f>SUM(N582:Q582)</f>
        <v>20680</v>
      </c>
      <c r="S582" s="301">
        <f>SUM(S583:S685)</f>
        <v>5170</v>
      </c>
      <c r="T582" s="301">
        <f>SUM(T583:T685)</f>
        <v>5170</v>
      </c>
      <c r="U582" s="301">
        <f>SUM(U583:U685)</f>
        <v>5170</v>
      </c>
      <c r="V582" s="301">
        <f>SUM(V583:V685)</f>
        <v>5170</v>
      </c>
      <c r="W582" s="304">
        <f>SUM(S582:V582)</f>
        <v>20680</v>
      </c>
      <c r="X582" s="186">
        <v>42976</v>
      </c>
    </row>
    <row r="583" spans="1:24" s="224" customFormat="1" ht="12.75" x14ac:dyDescent="0.2">
      <c r="A583" s="221"/>
      <c r="B583" s="221" t="s">
        <v>526</v>
      </c>
      <c r="C583" s="222"/>
      <c r="D583" s="222">
        <v>0</v>
      </c>
      <c r="E583" s="222">
        <v>0</v>
      </c>
      <c r="F583" s="222">
        <v>0</v>
      </c>
      <c r="G583" s="222">
        <v>6.1</v>
      </c>
      <c r="H583" s="223">
        <v>6.1</v>
      </c>
      <c r="I583" s="222">
        <v>115</v>
      </c>
      <c r="J583" s="222">
        <v>50</v>
      </c>
      <c r="K583" s="222">
        <v>50</v>
      </c>
      <c r="L583" s="222">
        <v>50</v>
      </c>
      <c r="M583" s="223">
        <v>265</v>
      </c>
      <c r="N583" s="222">
        <v>50</v>
      </c>
      <c r="O583" s="222">
        <v>50</v>
      </c>
      <c r="P583" s="222">
        <v>50</v>
      </c>
      <c r="Q583" s="222">
        <v>50</v>
      </c>
      <c r="R583" s="223">
        <v>200</v>
      </c>
      <c r="S583" s="222">
        <v>50</v>
      </c>
      <c r="T583" s="222">
        <v>50</v>
      </c>
      <c r="U583" s="222">
        <v>50</v>
      </c>
      <c r="V583" s="222">
        <v>50</v>
      </c>
      <c r="W583" s="223">
        <v>200</v>
      </c>
    </row>
    <row r="584" spans="1:24" s="224" customFormat="1" ht="12.75" x14ac:dyDescent="0.2">
      <c r="A584" s="225"/>
      <c r="B584" s="225" t="s">
        <v>524</v>
      </c>
      <c r="C584" s="226"/>
      <c r="D584" s="226">
        <v>0</v>
      </c>
      <c r="E584" s="226">
        <v>0</v>
      </c>
      <c r="F584" s="226">
        <v>0</v>
      </c>
      <c r="G584" s="226">
        <v>30</v>
      </c>
      <c r="H584" s="227">
        <v>30</v>
      </c>
      <c r="I584" s="226">
        <v>115</v>
      </c>
      <c r="J584" s="226">
        <v>50</v>
      </c>
      <c r="K584" s="226">
        <v>50</v>
      </c>
      <c r="L584" s="226">
        <v>50</v>
      </c>
      <c r="M584" s="227">
        <v>265</v>
      </c>
      <c r="N584" s="226">
        <v>50</v>
      </c>
      <c r="O584" s="226">
        <v>50</v>
      </c>
      <c r="P584" s="226">
        <v>50</v>
      </c>
      <c r="Q584" s="226">
        <v>50</v>
      </c>
      <c r="R584" s="227">
        <v>200</v>
      </c>
      <c r="S584" s="226">
        <v>50</v>
      </c>
      <c r="T584" s="226">
        <v>50</v>
      </c>
      <c r="U584" s="226">
        <v>50</v>
      </c>
      <c r="V584" s="226">
        <v>50</v>
      </c>
      <c r="W584" s="227">
        <v>200</v>
      </c>
    </row>
    <row r="585" spans="1:24" s="224" customFormat="1" ht="12.75" x14ac:dyDescent="0.2">
      <c r="A585" s="225"/>
      <c r="B585" s="225" t="s">
        <v>873</v>
      </c>
      <c r="C585" s="226"/>
      <c r="D585" s="226">
        <v>0</v>
      </c>
      <c r="E585" s="226">
        <v>0</v>
      </c>
      <c r="F585" s="226">
        <v>0</v>
      </c>
      <c r="G585" s="226">
        <v>6.1</v>
      </c>
      <c r="H585" s="227">
        <v>6.1</v>
      </c>
      <c r="I585" s="226">
        <v>195</v>
      </c>
      <c r="J585" s="226">
        <v>50</v>
      </c>
      <c r="K585" s="226">
        <v>50</v>
      </c>
      <c r="L585" s="226">
        <v>50</v>
      </c>
      <c r="M585" s="227">
        <v>345</v>
      </c>
      <c r="N585" s="226">
        <v>50</v>
      </c>
      <c r="O585" s="226">
        <v>50</v>
      </c>
      <c r="P585" s="226">
        <v>50</v>
      </c>
      <c r="Q585" s="226">
        <v>50</v>
      </c>
      <c r="R585" s="227">
        <v>200</v>
      </c>
      <c r="S585" s="226">
        <v>50</v>
      </c>
      <c r="T585" s="226">
        <v>50</v>
      </c>
      <c r="U585" s="226">
        <v>50</v>
      </c>
      <c r="V585" s="226">
        <v>50</v>
      </c>
      <c r="W585" s="227">
        <v>200</v>
      </c>
    </row>
    <row r="586" spans="1:24" s="224" customFormat="1" ht="12.75" x14ac:dyDescent="0.2">
      <c r="A586" s="225"/>
      <c r="B586" s="225" t="s">
        <v>874</v>
      </c>
      <c r="C586" s="226"/>
      <c r="D586" s="226">
        <v>0</v>
      </c>
      <c r="E586" s="226">
        <v>0</v>
      </c>
      <c r="F586" s="226">
        <v>0</v>
      </c>
      <c r="G586" s="226">
        <v>6.1</v>
      </c>
      <c r="H586" s="227">
        <v>6.1</v>
      </c>
      <c r="I586" s="226">
        <v>50</v>
      </c>
      <c r="J586" s="226">
        <v>50</v>
      </c>
      <c r="K586" s="226">
        <v>50</v>
      </c>
      <c r="L586" s="226">
        <v>50</v>
      </c>
      <c r="M586" s="227">
        <v>200</v>
      </c>
      <c r="N586" s="226">
        <v>50</v>
      </c>
      <c r="O586" s="226">
        <v>50</v>
      </c>
      <c r="P586" s="226">
        <v>50</v>
      </c>
      <c r="Q586" s="226">
        <v>50</v>
      </c>
      <c r="R586" s="227">
        <v>200</v>
      </c>
      <c r="S586" s="226">
        <v>50</v>
      </c>
      <c r="T586" s="226">
        <v>50</v>
      </c>
      <c r="U586" s="226">
        <v>50</v>
      </c>
      <c r="V586" s="226">
        <v>50</v>
      </c>
      <c r="W586" s="227">
        <v>200</v>
      </c>
    </row>
    <row r="587" spans="1:24" s="224" customFormat="1" ht="12.75" x14ac:dyDescent="0.2">
      <c r="A587" s="225"/>
      <c r="B587" s="225" t="s">
        <v>875</v>
      </c>
      <c r="C587" s="226"/>
      <c r="D587" s="226">
        <v>0</v>
      </c>
      <c r="E587" s="226">
        <v>0</v>
      </c>
      <c r="F587" s="226">
        <v>0</v>
      </c>
      <c r="G587" s="226">
        <v>6.1</v>
      </c>
      <c r="H587" s="227">
        <v>6.1</v>
      </c>
      <c r="I587" s="226">
        <v>205</v>
      </c>
      <c r="J587" s="226">
        <v>50</v>
      </c>
      <c r="K587" s="226">
        <v>50</v>
      </c>
      <c r="L587" s="226">
        <v>50</v>
      </c>
      <c r="M587" s="227">
        <v>355</v>
      </c>
      <c r="N587" s="226">
        <v>50</v>
      </c>
      <c r="O587" s="226">
        <v>50</v>
      </c>
      <c r="P587" s="226">
        <v>50</v>
      </c>
      <c r="Q587" s="226">
        <v>50</v>
      </c>
      <c r="R587" s="227">
        <v>200</v>
      </c>
      <c r="S587" s="226">
        <v>50</v>
      </c>
      <c r="T587" s="226">
        <v>50</v>
      </c>
      <c r="U587" s="226">
        <v>50</v>
      </c>
      <c r="V587" s="226">
        <v>50</v>
      </c>
      <c r="W587" s="227">
        <v>200</v>
      </c>
    </row>
    <row r="588" spans="1:24" s="224" customFormat="1" ht="12.75" x14ac:dyDescent="0.2">
      <c r="A588" s="225"/>
      <c r="B588" s="225" t="s">
        <v>876</v>
      </c>
      <c r="C588" s="226"/>
      <c r="D588" s="226">
        <v>0</v>
      </c>
      <c r="E588" s="226">
        <v>0</v>
      </c>
      <c r="F588" s="226">
        <v>0</v>
      </c>
      <c r="G588" s="226">
        <v>200</v>
      </c>
      <c r="H588" s="227">
        <v>200</v>
      </c>
      <c r="I588" s="226">
        <v>310</v>
      </c>
      <c r="J588" s="226">
        <v>50</v>
      </c>
      <c r="K588" s="226">
        <v>50</v>
      </c>
      <c r="L588" s="226">
        <v>50</v>
      </c>
      <c r="M588" s="227">
        <v>460</v>
      </c>
      <c r="N588" s="226">
        <v>50</v>
      </c>
      <c r="O588" s="226">
        <v>50</v>
      </c>
      <c r="P588" s="226">
        <v>50</v>
      </c>
      <c r="Q588" s="226">
        <v>50</v>
      </c>
      <c r="R588" s="227">
        <v>200</v>
      </c>
      <c r="S588" s="226">
        <v>50</v>
      </c>
      <c r="T588" s="226">
        <v>50</v>
      </c>
      <c r="U588" s="226">
        <v>50</v>
      </c>
      <c r="V588" s="226">
        <v>50</v>
      </c>
      <c r="W588" s="227">
        <v>200</v>
      </c>
    </row>
    <row r="589" spans="1:24" s="224" customFormat="1" ht="12.75" x14ac:dyDescent="0.2">
      <c r="A589" s="225"/>
      <c r="B589" s="225" t="s">
        <v>877</v>
      </c>
      <c r="C589" s="226"/>
      <c r="D589" s="226">
        <v>0</v>
      </c>
      <c r="E589" s="226">
        <v>0</v>
      </c>
      <c r="F589" s="226">
        <v>0</v>
      </c>
      <c r="G589" s="226">
        <v>6.1</v>
      </c>
      <c r="H589" s="227">
        <v>6.1</v>
      </c>
      <c r="I589" s="226">
        <v>115</v>
      </c>
      <c r="J589" s="226">
        <v>50</v>
      </c>
      <c r="K589" s="226">
        <v>50</v>
      </c>
      <c r="L589" s="226">
        <v>50</v>
      </c>
      <c r="M589" s="227">
        <v>265</v>
      </c>
      <c r="N589" s="226">
        <v>50</v>
      </c>
      <c r="O589" s="226">
        <v>50</v>
      </c>
      <c r="P589" s="226">
        <v>50</v>
      </c>
      <c r="Q589" s="226">
        <v>50</v>
      </c>
      <c r="R589" s="227">
        <v>200</v>
      </c>
      <c r="S589" s="226">
        <v>50</v>
      </c>
      <c r="T589" s="226">
        <v>50</v>
      </c>
      <c r="U589" s="226">
        <v>50</v>
      </c>
      <c r="V589" s="226">
        <v>50</v>
      </c>
      <c r="W589" s="227">
        <v>200</v>
      </c>
    </row>
    <row r="590" spans="1:24" s="224" customFormat="1" ht="12.75" x14ac:dyDescent="0.2">
      <c r="A590" s="225"/>
      <c r="B590" s="225" t="s">
        <v>878</v>
      </c>
      <c r="C590" s="226"/>
      <c r="D590" s="226">
        <v>0</v>
      </c>
      <c r="E590" s="226">
        <v>0</v>
      </c>
      <c r="F590" s="226">
        <v>0</v>
      </c>
      <c r="G590" s="226">
        <v>6.1</v>
      </c>
      <c r="H590" s="227">
        <v>6.1</v>
      </c>
      <c r="I590" s="226">
        <v>115</v>
      </c>
      <c r="J590" s="226">
        <v>50</v>
      </c>
      <c r="K590" s="226">
        <v>50</v>
      </c>
      <c r="L590" s="226">
        <v>50</v>
      </c>
      <c r="M590" s="227">
        <v>265</v>
      </c>
      <c r="N590" s="226">
        <v>50</v>
      </c>
      <c r="O590" s="226">
        <v>50</v>
      </c>
      <c r="P590" s="226">
        <v>50</v>
      </c>
      <c r="Q590" s="226">
        <v>50</v>
      </c>
      <c r="R590" s="227">
        <v>200</v>
      </c>
      <c r="S590" s="226">
        <v>50</v>
      </c>
      <c r="T590" s="226">
        <v>50</v>
      </c>
      <c r="U590" s="226">
        <v>50</v>
      </c>
      <c r="V590" s="226">
        <v>50</v>
      </c>
      <c r="W590" s="227">
        <v>200</v>
      </c>
    </row>
    <row r="591" spans="1:24" s="224" customFormat="1" ht="12.75" x14ac:dyDescent="0.2">
      <c r="A591" s="225"/>
      <c r="B591" s="225" t="s">
        <v>879</v>
      </c>
      <c r="C591" s="226"/>
      <c r="D591" s="226">
        <v>0</v>
      </c>
      <c r="E591" s="226">
        <v>0</v>
      </c>
      <c r="F591" s="226">
        <v>0</v>
      </c>
      <c r="G591" s="226">
        <v>6.1</v>
      </c>
      <c r="H591" s="227">
        <v>6.1</v>
      </c>
      <c r="I591" s="226">
        <v>50</v>
      </c>
      <c r="J591" s="226">
        <v>50</v>
      </c>
      <c r="K591" s="226">
        <v>50</v>
      </c>
      <c r="L591" s="226">
        <v>50</v>
      </c>
      <c r="M591" s="227">
        <v>200</v>
      </c>
      <c r="N591" s="226">
        <v>50</v>
      </c>
      <c r="O591" s="226">
        <v>50</v>
      </c>
      <c r="P591" s="226">
        <v>50</v>
      </c>
      <c r="Q591" s="226">
        <v>50</v>
      </c>
      <c r="R591" s="227">
        <v>200</v>
      </c>
      <c r="S591" s="226">
        <v>50</v>
      </c>
      <c r="T591" s="226">
        <v>50</v>
      </c>
      <c r="U591" s="226">
        <v>50</v>
      </c>
      <c r="V591" s="226">
        <v>50</v>
      </c>
      <c r="W591" s="227">
        <v>200</v>
      </c>
    </row>
    <row r="592" spans="1:24" s="224" customFormat="1" ht="12.75" x14ac:dyDescent="0.2">
      <c r="A592" s="225"/>
      <c r="B592" s="225" t="s">
        <v>880</v>
      </c>
      <c r="C592" s="226"/>
      <c r="D592" s="226">
        <v>0</v>
      </c>
      <c r="E592" s="226">
        <v>0</v>
      </c>
      <c r="F592" s="226">
        <v>0</v>
      </c>
      <c r="G592" s="226">
        <v>6.1</v>
      </c>
      <c r="H592" s="227">
        <v>6.1</v>
      </c>
      <c r="I592" s="226">
        <v>115</v>
      </c>
      <c r="J592" s="226">
        <v>90</v>
      </c>
      <c r="K592" s="226">
        <v>50</v>
      </c>
      <c r="L592" s="226">
        <v>50</v>
      </c>
      <c r="M592" s="227">
        <v>305</v>
      </c>
      <c r="N592" s="226">
        <v>50</v>
      </c>
      <c r="O592" s="226">
        <v>50</v>
      </c>
      <c r="P592" s="226">
        <v>50</v>
      </c>
      <c r="Q592" s="226">
        <v>50</v>
      </c>
      <c r="R592" s="227">
        <v>200</v>
      </c>
      <c r="S592" s="226">
        <v>50</v>
      </c>
      <c r="T592" s="226">
        <v>50</v>
      </c>
      <c r="U592" s="226">
        <v>50</v>
      </c>
      <c r="V592" s="226">
        <v>50</v>
      </c>
      <c r="W592" s="227">
        <v>200</v>
      </c>
    </row>
    <row r="593" spans="1:23" s="224" customFormat="1" ht="12.75" x14ac:dyDescent="0.2">
      <c r="A593" s="225"/>
      <c r="B593" s="225" t="s">
        <v>881</v>
      </c>
      <c r="C593" s="226"/>
      <c r="D593" s="226">
        <v>0</v>
      </c>
      <c r="E593" s="226">
        <v>0</v>
      </c>
      <c r="F593" s="226">
        <v>0</v>
      </c>
      <c r="G593" s="226">
        <v>0</v>
      </c>
      <c r="H593" s="227">
        <v>0</v>
      </c>
      <c r="I593" s="226">
        <v>5</v>
      </c>
      <c r="J593" s="226">
        <v>5</v>
      </c>
      <c r="K593" s="226">
        <v>5</v>
      </c>
      <c r="L593" s="226">
        <v>5</v>
      </c>
      <c r="M593" s="227">
        <v>20</v>
      </c>
      <c r="N593" s="226">
        <v>5</v>
      </c>
      <c r="O593" s="226">
        <v>5</v>
      </c>
      <c r="P593" s="226">
        <v>5</v>
      </c>
      <c r="Q593" s="226">
        <v>5</v>
      </c>
      <c r="R593" s="227">
        <v>20</v>
      </c>
      <c r="S593" s="226">
        <v>5</v>
      </c>
      <c r="T593" s="226">
        <v>5</v>
      </c>
      <c r="U593" s="226">
        <v>5</v>
      </c>
      <c r="V593" s="226">
        <v>5</v>
      </c>
      <c r="W593" s="227">
        <v>20</v>
      </c>
    </row>
    <row r="594" spans="1:23" s="224" customFormat="1" ht="12.75" x14ac:dyDescent="0.2">
      <c r="A594" s="225"/>
      <c r="B594" s="225" t="s">
        <v>882</v>
      </c>
      <c r="C594" s="226"/>
      <c r="D594" s="226">
        <v>0</v>
      </c>
      <c r="E594" s="226">
        <v>0</v>
      </c>
      <c r="F594" s="226">
        <v>0</v>
      </c>
      <c r="G594" s="226">
        <v>6.1</v>
      </c>
      <c r="H594" s="227">
        <v>6.1</v>
      </c>
      <c r="I594" s="226">
        <v>15</v>
      </c>
      <c r="J594" s="226">
        <v>15</v>
      </c>
      <c r="K594" s="226">
        <v>15</v>
      </c>
      <c r="L594" s="226">
        <v>15</v>
      </c>
      <c r="M594" s="227">
        <v>60</v>
      </c>
      <c r="N594" s="226">
        <v>15</v>
      </c>
      <c r="O594" s="226">
        <v>15</v>
      </c>
      <c r="P594" s="226">
        <v>15</v>
      </c>
      <c r="Q594" s="226">
        <v>15</v>
      </c>
      <c r="R594" s="227">
        <v>60</v>
      </c>
      <c r="S594" s="226">
        <v>15</v>
      </c>
      <c r="T594" s="226">
        <v>15</v>
      </c>
      <c r="U594" s="226">
        <v>15</v>
      </c>
      <c r="V594" s="226">
        <v>15</v>
      </c>
      <c r="W594" s="227">
        <v>60</v>
      </c>
    </row>
    <row r="595" spans="1:23" s="224" customFormat="1" ht="12.75" x14ac:dyDescent="0.2">
      <c r="A595" s="225"/>
      <c r="B595" s="225" t="s">
        <v>883</v>
      </c>
      <c r="C595" s="226"/>
      <c r="D595" s="226">
        <v>0</v>
      </c>
      <c r="E595" s="226">
        <v>0</v>
      </c>
      <c r="F595" s="226">
        <v>0</v>
      </c>
      <c r="G595" s="226">
        <v>166.1</v>
      </c>
      <c r="H595" s="227">
        <v>166.1</v>
      </c>
      <c r="I595" s="226">
        <v>155</v>
      </c>
      <c r="J595" s="226">
        <v>50</v>
      </c>
      <c r="K595" s="226">
        <v>50</v>
      </c>
      <c r="L595" s="226">
        <v>50</v>
      </c>
      <c r="M595" s="227">
        <v>305</v>
      </c>
      <c r="N595" s="226">
        <v>50</v>
      </c>
      <c r="O595" s="226">
        <v>50</v>
      </c>
      <c r="P595" s="226">
        <v>50</v>
      </c>
      <c r="Q595" s="226">
        <v>50</v>
      </c>
      <c r="R595" s="227">
        <v>200</v>
      </c>
      <c r="S595" s="226">
        <v>50</v>
      </c>
      <c r="T595" s="226">
        <v>50</v>
      </c>
      <c r="U595" s="226">
        <v>50</v>
      </c>
      <c r="V595" s="226">
        <v>50</v>
      </c>
      <c r="W595" s="227">
        <v>200</v>
      </c>
    </row>
    <row r="596" spans="1:23" s="224" customFormat="1" ht="12.75" x14ac:dyDescent="0.2">
      <c r="A596" s="225"/>
      <c r="B596" s="225" t="s">
        <v>884</v>
      </c>
      <c r="C596" s="226"/>
      <c r="D596" s="226">
        <v>0</v>
      </c>
      <c r="E596" s="226">
        <v>0</v>
      </c>
      <c r="F596" s="226">
        <v>0</v>
      </c>
      <c r="G596" s="226">
        <v>6.1</v>
      </c>
      <c r="H596" s="227">
        <v>6.1</v>
      </c>
      <c r="I596" s="226">
        <v>50</v>
      </c>
      <c r="J596" s="226">
        <v>90</v>
      </c>
      <c r="K596" s="226">
        <v>50</v>
      </c>
      <c r="L596" s="226">
        <v>50</v>
      </c>
      <c r="M596" s="227">
        <v>240</v>
      </c>
      <c r="N596" s="226">
        <v>50</v>
      </c>
      <c r="O596" s="226">
        <v>50</v>
      </c>
      <c r="P596" s="226">
        <v>50</v>
      </c>
      <c r="Q596" s="226">
        <v>50</v>
      </c>
      <c r="R596" s="227">
        <v>200</v>
      </c>
      <c r="S596" s="226">
        <v>50</v>
      </c>
      <c r="T596" s="226">
        <v>50</v>
      </c>
      <c r="U596" s="226">
        <v>50</v>
      </c>
      <c r="V596" s="226">
        <v>50</v>
      </c>
      <c r="W596" s="227">
        <v>200</v>
      </c>
    </row>
    <row r="597" spans="1:23" s="224" customFormat="1" ht="12.75" x14ac:dyDescent="0.2">
      <c r="A597" s="225"/>
      <c r="B597" s="225" t="s">
        <v>809</v>
      </c>
      <c r="C597" s="226"/>
      <c r="D597" s="226">
        <v>0</v>
      </c>
      <c r="E597" s="226">
        <v>0</v>
      </c>
      <c r="F597" s="226">
        <v>0</v>
      </c>
      <c r="G597" s="226">
        <v>35</v>
      </c>
      <c r="H597" s="227">
        <v>35</v>
      </c>
      <c r="I597" s="226">
        <v>50</v>
      </c>
      <c r="J597" s="226">
        <v>50</v>
      </c>
      <c r="K597" s="226">
        <v>50</v>
      </c>
      <c r="L597" s="226">
        <v>50</v>
      </c>
      <c r="M597" s="227">
        <v>200</v>
      </c>
      <c r="N597" s="226">
        <v>50</v>
      </c>
      <c r="O597" s="226">
        <v>50</v>
      </c>
      <c r="P597" s="226">
        <v>50</v>
      </c>
      <c r="Q597" s="226">
        <v>50</v>
      </c>
      <c r="R597" s="227">
        <v>200</v>
      </c>
      <c r="S597" s="226">
        <v>50</v>
      </c>
      <c r="T597" s="226">
        <v>50</v>
      </c>
      <c r="U597" s="226">
        <v>50</v>
      </c>
      <c r="V597" s="226">
        <v>50</v>
      </c>
      <c r="W597" s="227">
        <v>200</v>
      </c>
    </row>
    <row r="598" spans="1:23" s="224" customFormat="1" ht="12.75" x14ac:dyDescent="0.2">
      <c r="A598" s="225"/>
      <c r="B598" s="225" t="s">
        <v>885</v>
      </c>
      <c r="C598" s="226"/>
      <c r="D598" s="226">
        <v>0</v>
      </c>
      <c r="E598" s="226">
        <v>0</v>
      </c>
      <c r="F598" s="226">
        <v>0</v>
      </c>
      <c r="G598" s="226">
        <v>6.1</v>
      </c>
      <c r="H598" s="227">
        <v>6.1</v>
      </c>
      <c r="I598" s="226">
        <v>50</v>
      </c>
      <c r="J598" s="226">
        <v>50</v>
      </c>
      <c r="K598" s="226">
        <v>50</v>
      </c>
      <c r="L598" s="226">
        <v>50</v>
      </c>
      <c r="M598" s="227">
        <v>200</v>
      </c>
      <c r="N598" s="226">
        <v>50</v>
      </c>
      <c r="O598" s="226">
        <v>50</v>
      </c>
      <c r="P598" s="226">
        <v>50</v>
      </c>
      <c r="Q598" s="226">
        <v>50</v>
      </c>
      <c r="R598" s="227">
        <v>200</v>
      </c>
      <c r="S598" s="226">
        <v>50</v>
      </c>
      <c r="T598" s="226">
        <v>50</v>
      </c>
      <c r="U598" s="226">
        <v>50</v>
      </c>
      <c r="V598" s="226">
        <v>50</v>
      </c>
      <c r="W598" s="227">
        <v>200</v>
      </c>
    </row>
    <row r="599" spans="1:23" s="224" customFormat="1" ht="12.75" x14ac:dyDescent="0.2">
      <c r="A599" s="225"/>
      <c r="B599" s="225" t="s">
        <v>886</v>
      </c>
      <c r="C599" s="226"/>
      <c r="D599" s="226">
        <v>0</v>
      </c>
      <c r="E599" s="226">
        <v>0</v>
      </c>
      <c r="F599" s="226">
        <v>0</v>
      </c>
      <c r="G599" s="226">
        <v>6.1</v>
      </c>
      <c r="H599" s="227">
        <v>6.1</v>
      </c>
      <c r="I599" s="226">
        <v>50</v>
      </c>
      <c r="J599" s="226">
        <v>50</v>
      </c>
      <c r="K599" s="226">
        <v>50</v>
      </c>
      <c r="L599" s="226">
        <v>50</v>
      </c>
      <c r="M599" s="227">
        <v>200</v>
      </c>
      <c r="N599" s="226">
        <v>50</v>
      </c>
      <c r="O599" s="226">
        <v>50</v>
      </c>
      <c r="P599" s="226">
        <v>50</v>
      </c>
      <c r="Q599" s="226">
        <v>50</v>
      </c>
      <c r="R599" s="227">
        <v>200</v>
      </c>
      <c r="S599" s="226">
        <v>50</v>
      </c>
      <c r="T599" s="226">
        <v>50</v>
      </c>
      <c r="U599" s="226">
        <v>50</v>
      </c>
      <c r="V599" s="226">
        <v>50</v>
      </c>
      <c r="W599" s="227">
        <v>200</v>
      </c>
    </row>
    <row r="600" spans="1:23" s="224" customFormat="1" ht="12.75" x14ac:dyDescent="0.2">
      <c r="A600" s="225"/>
      <c r="B600" s="225" t="s">
        <v>887</v>
      </c>
      <c r="C600" s="226"/>
      <c r="D600" s="226">
        <v>0</v>
      </c>
      <c r="E600" s="226">
        <v>0</v>
      </c>
      <c r="F600" s="226">
        <v>0</v>
      </c>
      <c r="G600" s="226">
        <v>6.1</v>
      </c>
      <c r="H600" s="227">
        <v>6.1</v>
      </c>
      <c r="I600" s="226">
        <v>50</v>
      </c>
      <c r="J600" s="226">
        <v>50</v>
      </c>
      <c r="K600" s="226">
        <v>50</v>
      </c>
      <c r="L600" s="226">
        <v>50</v>
      </c>
      <c r="M600" s="227">
        <v>200</v>
      </c>
      <c r="N600" s="226">
        <v>50</v>
      </c>
      <c r="O600" s="226">
        <v>50</v>
      </c>
      <c r="P600" s="226">
        <v>50</v>
      </c>
      <c r="Q600" s="226">
        <v>50</v>
      </c>
      <c r="R600" s="227">
        <v>200</v>
      </c>
      <c r="S600" s="226">
        <v>50</v>
      </c>
      <c r="T600" s="226">
        <v>50</v>
      </c>
      <c r="U600" s="226">
        <v>50</v>
      </c>
      <c r="V600" s="226">
        <v>50</v>
      </c>
      <c r="W600" s="227">
        <v>200</v>
      </c>
    </row>
    <row r="601" spans="1:23" s="224" customFormat="1" ht="12.75" x14ac:dyDescent="0.2">
      <c r="A601" s="225"/>
      <c r="B601" s="225" t="s">
        <v>888</v>
      </c>
      <c r="C601" s="226"/>
      <c r="D601" s="226">
        <v>0</v>
      </c>
      <c r="E601" s="226">
        <v>0</v>
      </c>
      <c r="F601" s="226">
        <v>0</v>
      </c>
      <c r="G601" s="226">
        <v>6.1</v>
      </c>
      <c r="H601" s="227">
        <v>6.1</v>
      </c>
      <c r="I601" s="226">
        <v>100</v>
      </c>
      <c r="J601" s="226">
        <v>165</v>
      </c>
      <c r="K601" s="226">
        <v>100</v>
      </c>
      <c r="L601" s="226">
        <v>100</v>
      </c>
      <c r="M601" s="227">
        <v>465</v>
      </c>
      <c r="N601" s="226">
        <v>100</v>
      </c>
      <c r="O601" s="226">
        <v>100</v>
      </c>
      <c r="P601" s="226">
        <v>100</v>
      </c>
      <c r="Q601" s="226">
        <v>100</v>
      </c>
      <c r="R601" s="227">
        <v>400</v>
      </c>
      <c r="S601" s="226">
        <v>100</v>
      </c>
      <c r="T601" s="226">
        <v>100</v>
      </c>
      <c r="U601" s="226">
        <v>100</v>
      </c>
      <c r="V601" s="226">
        <v>100</v>
      </c>
      <c r="W601" s="227">
        <v>400</v>
      </c>
    </row>
    <row r="602" spans="1:23" s="224" customFormat="1" ht="12.75" x14ac:dyDescent="0.2">
      <c r="A602" s="225"/>
      <c r="B602" s="225" t="s">
        <v>889</v>
      </c>
      <c r="C602" s="226"/>
      <c r="D602" s="226">
        <v>0</v>
      </c>
      <c r="E602" s="226">
        <v>0</v>
      </c>
      <c r="F602" s="226">
        <v>0</v>
      </c>
      <c r="G602" s="226">
        <v>6.1</v>
      </c>
      <c r="H602" s="227">
        <v>6.1</v>
      </c>
      <c r="I602" s="226">
        <v>50</v>
      </c>
      <c r="J602" s="226">
        <v>50</v>
      </c>
      <c r="K602" s="226">
        <v>50</v>
      </c>
      <c r="L602" s="226">
        <v>50</v>
      </c>
      <c r="M602" s="227">
        <v>200</v>
      </c>
      <c r="N602" s="226">
        <v>50</v>
      </c>
      <c r="O602" s="226">
        <v>50</v>
      </c>
      <c r="P602" s="226">
        <v>50</v>
      </c>
      <c r="Q602" s="226">
        <v>50</v>
      </c>
      <c r="R602" s="227">
        <v>200</v>
      </c>
      <c r="S602" s="226">
        <v>50</v>
      </c>
      <c r="T602" s="226">
        <v>50</v>
      </c>
      <c r="U602" s="226">
        <v>50</v>
      </c>
      <c r="V602" s="226">
        <v>50</v>
      </c>
      <c r="W602" s="227">
        <v>200</v>
      </c>
    </row>
    <row r="603" spans="1:23" s="224" customFormat="1" ht="12.75" x14ac:dyDescent="0.2">
      <c r="A603" s="225"/>
      <c r="B603" s="225" t="s">
        <v>890</v>
      </c>
      <c r="C603" s="226"/>
      <c r="D603" s="226">
        <v>0</v>
      </c>
      <c r="E603" s="226">
        <v>0</v>
      </c>
      <c r="F603" s="226">
        <v>0</v>
      </c>
      <c r="G603" s="226">
        <v>150</v>
      </c>
      <c r="H603" s="227">
        <v>150</v>
      </c>
      <c r="I603" s="226">
        <v>130</v>
      </c>
      <c r="J603" s="226">
        <v>50</v>
      </c>
      <c r="K603" s="226">
        <v>50</v>
      </c>
      <c r="L603" s="226">
        <v>50</v>
      </c>
      <c r="M603" s="227">
        <v>280</v>
      </c>
      <c r="N603" s="226">
        <v>50</v>
      </c>
      <c r="O603" s="226">
        <v>50</v>
      </c>
      <c r="P603" s="226">
        <v>50</v>
      </c>
      <c r="Q603" s="226">
        <v>50</v>
      </c>
      <c r="R603" s="227">
        <v>200</v>
      </c>
      <c r="S603" s="226">
        <v>50</v>
      </c>
      <c r="T603" s="226">
        <v>50</v>
      </c>
      <c r="U603" s="226">
        <v>50</v>
      </c>
      <c r="V603" s="226">
        <v>50</v>
      </c>
      <c r="W603" s="227">
        <v>200</v>
      </c>
    </row>
    <row r="604" spans="1:23" s="224" customFormat="1" ht="12.75" x14ac:dyDescent="0.2">
      <c r="A604" s="225"/>
      <c r="B604" s="225" t="s">
        <v>542</v>
      </c>
      <c r="C604" s="226"/>
      <c r="D604" s="226">
        <v>0</v>
      </c>
      <c r="E604" s="226">
        <v>0</v>
      </c>
      <c r="F604" s="226">
        <v>0</v>
      </c>
      <c r="G604" s="226">
        <v>43</v>
      </c>
      <c r="H604" s="227">
        <v>43</v>
      </c>
      <c r="I604" s="226">
        <v>50</v>
      </c>
      <c r="J604" s="226">
        <v>50</v>
      </c>
      <c r="K604" s="226">
        <v>50</v>
      </c>
      <c r="L604" s="226">
        <v>50</v>
      </c>
      <c r="M604" s="227">
        <v>200</v>
      </c>
      <c r="N604" s="226">
        <v>50</v>
      </c>
      <c r="O604" s="226">
        <v>50</v>
      </c>
      <c r="P604" s="226">
        <v>50</v>
      </c>
      <c r="Q604" s="226">
        <v>50</v>
      </c>
      <c r="R604" s="227">
        <v>200</v>
      </c>
      <c r="S604" s="226">
        <v>50</v>
      </c>
      <c r="T604" s="226">
        <v>50</v>
      </c>
      <c r="U604" s="226">
        <v>50</v>
      </c>
      <c r="V604" s="226">
        <v>50</v>
      </c>
      <c r="W604" s="227">
        <v>200</v>
      </c>
    </row>
    <row r="605" spans="1:23" s="224" customFormat="1" ht="12.75" x14ac:dyDescent="0.2">
      <c r="A605" s="225"/>
      <c r="B605" s="225" t="s">
        <v>891</v>
      </c>
      <c r="C605" s="226"/>
      <c r="D605" s="226">
        <v>0</v>
      </c>
      <c r="E605" s="226">
        <v>0</v>
      </c>
      <c r="F605" s="226">
        <v>0</v>
      </c>
      <c r="G605" s="226">
        <v>0</v>
      </c>
      <c r="H605" s="227">
        <v>0</v>
      </c>
      <c r="I605" s="226">
        <v>50</v>
      </c>
      <c r="J605" s="226">
        <v>50</v>
      </c>
      <c r="K605" s="226">
        <v>50</v>
      </c>
      <c r="L605" s="226">
        <v>50</v>
      </c>
      <c r="M605" s="227">
        <v>200</v>
      </c>
      <c r="N605" s="226">
        <v>50</v>
      </c>
      <c r="O605" s="226">
        <v>50</v>
      </c>
      <c r="P605" s="226">
        <v>50</v>
      </c>
      <c r="Q605" s="226">
        <v>50</v>
      </c>
      <c r="R605" s="227">
        <v>200</v>
      </c>
      <c r="S605" s="226">
        <v>50</v>
      </c>
      <c r="T605" s="226">
        <v>50</v>
      </c>
      <c r="U605" s="226">
        <v>50</v>
      </c>
      <c r="V605" s="226">
        <v>50</v>
      </c>
      <c r="W605" s="227">
        <v>200</v>
      </c>
    </row>
    <row r="606" spans="1:23" s="224" customFormat="1" ht="12.75" x14ac:dyDescent="0.2">
      <c r="A606" s="225"/>
      <c r="B606" s="225" t="s">
        <v>545</v>
      </c>
      <c r="C606" s="226"/>
      <c r="D606" s="226">
        <v>0</v>
      </c>
      <c r="E606" s="226">
        <v>0</v>
      </c>
      <c r="F606" s="226">
        <v>0</v>
      </c>
      <c r="G606" s="226">
        <v>14.833333</v>
      </c>
      <c r="H606" s="227">
        <v>14.833333</v>
      </c>
      <c r="I606" s="226">
        <v>130</v>
      </c>
      <c r="J606" s="226">
        <v>50</v>
      </c>
      <c r="K606" s="226">
        <v>50</v>
      </c>
      <c r="L606" s="226">
        <v>50</v>
      </c>
      <c r="M606" s="227">
        <v>280</v>
      </c>
      <c r="N606" s="226">
        <v>50</v>
      </c>
      <c r="O606" s="226">
        <v>50</v>
      </c>
      <c r="P606" s="226">
        <v>50</v>
      </c>
      <c r="Q606" s="226">
        <v>50</v>
      </c>
      <c r="R606" s="227">
        <v>200</v>
      </c>
      <c r="S606" s="226">
        <v>50</v>
      </c>
      <c r="T606" s="226">
        <v>50</v>
      </c>
      <c r="U606" s="226">
        <v>50</v>
      </c>
      <c r="V606" s="226">
        <v>50</v>
      </c>
      <c r="W606" s="227">
        <v>200</v>
      </c>
    </row>
    <row r="607" spans="1:23" s="224" customFormat="1" ht="12.75" x14ac:dyDescent="0.2">
      <c r="A607" s="225"/>
      <c r="B607" s="225" t="s">
        <v>892</v>
      </c>
      <c r="C607" s="226"/>
      <c r="D607" s="226">
        <v>0</v>
      </c>
      <c r="E607" s="226">
        <v>0</v>
      </c>
      <c r="F607" s="226">
        <v>0</v>
      </c>
      <c r="G607" s="226">
        <v>0</v>
      </c>
      <c r="H607" s="227">
        <v>0</v>
      </c>
      <c r="I607" s="226">
        <v>50</v>
      </c>
      <c r="J607" s="226">
        <v>50</v>
      </c>
      <c r="K607" s="226">
        <v>50</v>
      </c>
      <c r="L607" s="226">
        <v>50</v>
      </c>
      <c r="M607" s="227">
        <v>200</v>
      </c>
      <c r="N607" s="226">
        <v>50</v>
      </c>
      <c r="O607" s="226">
        <v>50</v>
      </c>
      <c r="P607" s="226">
        <v>50</v>
      </c>
      <c r="Q607" s="226">
        <v>50</v>
      </c>
      <c r="R607" s="227">
        <v>200</v>
      </c>
      <c r="S607" s="226">
        <v>50</v>
      </c>
      <c r="T607" s="226">
        <v>50</v>
      </c>
      <c r="U607" s="226">
        <v>50</v>
      </c>
      <c r="V607" s="226">
        <v>50</v>
      </c>
      <c r="W607" s="227">
        <v>200</v>
      </c>
    </row>
    <row r="608" spans="1:23" s="224" customFormat="1" ht="12.75" x14ac:dyDescent="0.2">
      <c r="A608" s="225"/>
      <c r="B608" s="225" t="s">
        <v>563</v>
      </c>
      <c r="C608" s="226"/>
      <c r="D608" s="226">
        <v>0</v>
      </c>
      <c r="E608" s="226">
        <v>0</v>
      </c>
      <c r="F608" s="226">
        <v>0</v>
      </c>
      <c r="G608" s="226">
        <v>194.83333300000001</v>
      </c>
      <c r="H608" s="227">
        <v>194.83333300000001</v>
      </c>
      <c r="I608" s="226">
        <v>50</v>
      </c>
      <c r="J608" s="226">
        <v>50</v>
      </c>
      <c r="K608" s="226">
        <v>50</v>
      </c>
      <c r="L608" s="226">
        <v>50</v>
      </c>
      <c r="M608" s="227">
        <v>200</v>
      </c>
      <c r="N608" s="226">
        <v>50</v>
      </c>
      <c r="O608" s="226">
        <v>50</v>
      </c>
      <c r="P608" s="226">
        <v>50</v>
      </c>
      <c r="Q608" s="226">
        <v>50</v>
      </c>
      <c r="R608" s="227">
        <v>200</v>
      </c>
      <c r="S608" s="226">
        <v>50</v>
      </c>
      <c r="T608" s="226">
        <v>50</v>
      </c>
      <c r="U608" s="226">
        <v>50</v>
      </c>
      <c r="V608" s="226">
        <v>50</v>
      </c>
      <c r="W608" s="227">
        <v>200</v>
      </c>
    </row>
    <row r="609" spans="1:23" s="224" customFormat="1" ht="12.75" x14ac:dyDescent="0.2">
      <c r="A609" s="225"/>
      <c r="B609" s="225" t="s">
        <v>698</v>
      </c>
      <c r="C609" s="226"/>
      <c r="D609" s="226">
        <v>0</v>
      </c>
      <c r="E609" s="226">
        <v>0</v>
      </c>
      <c r="F609" s="226">
        <v>0</v>
      </c>
      <c r="G609" s="226">
        <v>0</v>
      </c>
      <c r="H609" s="227">
        <v>0</v>
      </c>
      <c r="I609" s="226">
        <v>50</v>
      </c>
      <c r="J609" s="226">
        <v>50</v>
      </c>
      <c r="K609" s="226">
        <v>50</v>
      </c>
      <c r="L609" s="226">
        <v>50</v>
      </c>
      <c r="M609" s="227">
        <v>200</v>
      </c>
      <c r="N609" s="226">
        <v>50</v>
      </c>
      <c r="O609" s="226">
        <v>50</v>
      </c>
      <c r="P609" s="226">
        <v>50</v>
      </c>
      <c r="Q609" s="226">
        <v>50</v>
      </c>
      <c r="R609" s="227">
        <v>200</v>
      </c>
      <c r="S609" s="226">
        <v>50</v>
      </c>
      <c r="T609" s="226">
        <v>50</v>
      </c>
      <c r="U609" s="226">
        <v>50</v>
      </c>
      <c r="V609" s="226">
        <v>50</v>
      </c>
      <c r="W609" s="227">
        <v>200</v>
      </c>
    </row>
    <row r="610" spans="1:23" s="224" customFormat="1" ht="12.75" x14ac:dyDescent="0.2">
      <c r="A610" s="225"/>
      <c r="B610" s="225" t="s">
        <v>697</v>
      </c>
      <c r="C610" s="226"/>
      <c r="D610" s="226">
        <v>0</v>
      </c>
      <c r="E610" s="226">
        <v>0</v>
      </c>
      <c r="F610" s="226">
        <v>0</v>
      </c>
      <c r="G610" s="226">
        <v>0</v>
      </c>
      <c r="H610" s="227">
        <v>0</v>
      </c>
      <c r="I610" s="226">
        <v>50</v>
      </c>
      <c r="J610" s="226">
        <v>50</v>
      </c>
      <c r="K610" s="226">
        <v>50</v>
      </c>
      <c r="L610" s="226">
        <v>50</v>
      </c>
      <c r="M610" s="227">
        <v>200</v>
      </c>
      <c r="N610" s="226">
        <v>50</v>
      </c>
      <c r="O610" s="226">
        <v>50</v>
      </c>
      <c r="P610" s="226">
        <v>50</v>
      </c>
      <c r="Q610" s="226">
        <v>50</v>
      </c>
      <c r="R610" s="227">
        <v>200</v>
      </c>
      <c r="S610" s="226">
        <v>50</v>
      </c>
      <c r="T610" s="226">
        <v>50</v>
      </c>
      <c r="U610" s="226">
        <v>50</v>
      </c>
      <c r="V610" s="226">
        <v>50</v>
      </c>
      <c r="W610" s="227">
        <v>200</v>
      </c>
    </row>
    <row r="611" spans="1:23" s="224" customFormat="1" ht="12.75" x14ac:dyDescent="0.2">
      <c r="A611" s="225"/>
      <c r="B611" s="225" t="s">
        <v>893</v>
      </c>
      <c r="C611" s="226"/>
      <c r="D611" s="226">
        <v>0</v>
      </c>
      <c r="E611" s="226">
        <v>0</v>
      </c>
      <c r="F611" s="226">
        <v>0</v>
      </c>
      <c r="G611" s="226">
        <v>56</v>
      </c>
      <c r="H611" s="227">
        <v>56</v>
      </c>
      <c r="I611" s="226">
        <v>115</v>
      </c>
      <c r="J611" s="226">
        <v>195</v>
      </c>
      <c r="K611" s="226">
        <v>50</v>
      </c>
      <c r="L611" s="226">
        <v>50</v>
      </c>
      <c r="M611" s="227">
        <v>410</v>
      </c>
      <c r="N611" s="226">
        <v>50</v>
      </c>
      <c r="O611" s="226">
        <v>50</v>
      </c>
      <c r="P611" s="226">
        <v>50</v>
      </c>
      <c r="Q611" s="226">
        <v>50</v>
      </c>
      <c r="R611" s="227">
        <v>200</v>
      </c>
      <c r="S611" s="226">
        <v>50</v>
      </c>
      <c r="T611" s="226">
        <v>50</v>
      </c>
      <c r="U611" s="226">
        <v>50</v>
      </c>
      <c r="V611" s="226">
        <v>50</v>
      </c>
      <c r="W611" s="227">
        <v>200</v>
      </c>
    </row>
    <row r="612" spans="1:23" s="224" customFormat="1" ht="12.75" x14ac:dyDescent="0.2">
      <c r="A612" s="225"/>
      <c r="B612" s="225" t="s">
        <v>894</v>
      </c>
      <c r="C612" s="226"/>
      <c r="D612" s="226">
        <v>0</v>
      </c>
      <c r="E612" s="226">
        <v>0</v>
      </c>
      <c r="F612" s="226">
        <v>0</v>
      </c>
      <c r="G612" s="226">
        <v>15</v>
      </c>
      <c r="H612" s="227">
        <v>15</v>
      </c>
      <c r="I612" s="226">
        <v>50</v>
      </c>
      <c r="J612" s="226">
        <v>50</v>
      </c>
      <c r="K612" s="226">
        <v>195</v>
      </c>
      <c r="L612" s="226">
        <v>50</v>
      </c>
      <c r="M612" s="227">
        <v>345</v>
      </c>
      <c r="N612" s="226">
        <v>50</v>
      </c>
      <c r="O612" s="226">
        <v>50</v>
      </c>
      <c r="P612" s="226">
        <v>50</v>
      </c>
      <c r="Q612" s="226">
        <v>50</v>
      </c>
      <c r="R612" s="227">
        <v>200</v>
      </c>
      <c r="S612" s="226">
        <v>50</v>
      </c>
      <c r="T612" s="226">
        <v>50</v>
      </c>
      <c r="U612" s="226">
        <v>50</v>
      </c>
      <c r="V612" s="226">
        <v>50</v>
      </c>
      <c r="W612" s="227">
        <v>200</v>
      </c>
    </row>
    <row r="613" spans="1:23" s="224" customFormat="1" ht="12.75" x14ac:dyDescent="0.2">
      <c r="A613" s="225"/>
      <c r="B613" s="225" t="s">
        <v>895</v>
      </c>
      <c r="C613" s="226"/>
      <c r="D613" s="226">
        <v>0</v>
      </c>
      <c r="E613" s="226">
        <v>0</v>
      </c>
      <c r="F613" s="226">
        <v>0</v>
      </c>
      <c r="G613" s="226">
        <v>36.5</v>
      </c>
      <c r="H613" s="227">
        <v>36.5</v>
      </c>
      <c r="I613" s="226">
        <v>50</v>
      </c>
      <c r="J613" s="226">
        <v>115</v>
      </c>
      <c r="K613" s="226">
        <v>50</v>
      </c>
      <c r="L613" s="226">
        <v>195</v>
      </c>
      <c r="M613" s="227">
        <v>410</v>
      </c>
      <c r="N613" s="226">
        <v>50</v>
      </c>
      <c r="O613" s="226">
        <v>50</v>
      </c>
      <c r="P613" s="226">
        <v>50</v>
      </c>
      <c r="Q613" s="226">
        <v>50</v>
      </c>
      <c r="R613" s="227">
        <v>200</v>
      </c>
      <c r="S613" s="226">
        <v>50</v>
      </c>
      <c r="T613" s="226">
        <v>50</v>
      </c>
      <c r="U613" s="226">
        <v>50</v>
      </c>
      <c r="V613" s="226">
        <v>50</v>
      </c>
      <c r="W613" s="227">
        <v>200</v>
      </c>
    </row>
    <row r="614" spans="1:23" s="224" customFormat="1" ht="12.75" x14ac:dyDescent="0.2">
      <c r="A614" s="225"/>
      <c r="B614" s="225" t="s">
        <v>896</v>
      </c>
      <c r="C614" s="226"/>
      <c r="D614" s="226">
        <v>0</v>
      </c>
      <c r="E614" s="226">
        <v>0</v>
      </c>
      <c r="F614" s="226">
        <v>0</v>
      </c>
      <c r="G614" s="226">
        <v>0</v>
      </c>
      <c r="H614" s="227">
        <v>0</v>
      </c>
      <c r="I614" s="226">
        <v>50</v>
      </c>
      <c r="J614" s="226">
        <v>195</v>
      </c>
      <c r="K614" s="226">
        <v>115</v>
      </c>
      <c r="L614" s="226">
        <v>50</v>
      </c>
      <c r="M614" s="227">
        <v>410</v>
      </c>
      <c r="N614" s="226">
        <v>50</v>
      </c>
      <c r="O614" s="226">
        <v>50</v>
      </c>
      <c r="P614" s="226">
        <v>50</v>
      </c>
      <c r="Q614" s="226">
        <v>50</v>
      </c>
      <c r="R614" s="227">
        <v>200</v>
      </c>
      <c r="S614" s="226">
        <v>50</v>
      </c>
      <c r="T614" s="226">
        <v>50</v>
      </c>
      <c r="U614" s="226">
        <v>50</v>
      </c>
      <c r="V614" s="226">
        <v>50</v>
      </c>
      <c r="W614" s="227">
        <v>200</v>
      </c>
    </row>
    <row r="615" spans="1:23" s="224" customFormat="1" ht="12.75" x14ac:dyDescent="0.2">
      <c r="A615" s="225"/>
      <c r="B615" s="225" t="s">
        <v>897</v>
      </c>
      <c r="C615" s="226"/>
      <c r="D615" s="226">
        <v>0</v>
      </c>
      <c r="E615" s="226">
        <v>0</v>
      </c>
      <c r="F615" s="226">
        <v>0</v>
      </c>
      <c r="G615" s="226">
        <v>324</v>
      </c>
      <c r="H615" s="227">
        <v>324</v>
      </c>
      <c r="I615" s="226">
        <v>130</v>
      </c>
      <c r="J615" s="226">
        <v>50</v>
      </c>
      <c r="K615" s="226">
        <v>50</v>
      </c>
      <c r="L615" s="226">
        <v>50</v>
      </c>
      <c r="M615" s="227">
        <v>280</v>
      </c>
      <c r="N615" s="226">
        <v>50</v>
      </c>
      <c r="O615" s="226">
        <v>50</v>
      </c>
      <c r="P615" s="226">
        <v>50</v>
      </c>
      <c r="Q615" s="226">
        <v>50</v>
      </c>
      <c r="R615" s="227">
        <v>200</v>
      </c>
      <c r="S615" s="226">
        <v>50</v>
      </c>
      <c r="T615" s="226">
        <v>50</v>
      </c>
      <c r="U615" s="226">
        <v>50</v>
      </c>
      <c r="V615" s="226">
        <v>50</v>
      </c>
      <c r="W615" s="227">
        <v>200</v>
      </c>
    </row>
    <row r="616" spans="1:23" s="224" customFormat="1" ht="12.75" x14ac:dyDescent="0.2">
      <c r="A616" s="225"/>
      <c r="B616" s="225" t="s">
        <v>898</v>
      </c>
      <c r="C616" s="226"/>
      <c r="D616" s="226">
        <v>0</v>
      </c>
      <c r="E616" s="226">
        <v>0</v>
      </c>
      <c r="F616" s="226">
        <v>0</v>
      </c>
      <c r="G616" s="226">
        <v>0</v>
      </c>
      <c r="H616" s="227">
        <v>0</v>
      </c>
      <c r="I616" s="226">
        <v>50</v>
      </c>
      <c r="J616" s="226">
        <v>50</v>
      </c>
      <c r="K616" s="226">
        <v>50</v>
      </c>
      <c r="L616" s="226">
        <v>115</v>
      </c>
      <c r="M616" s="227">
        <v>265</v>
      </c>
      <c r="N616" s="226">
        <v>50</v>
      </c>
      <c r="O616" s="226">
        <v>50</v>
      </c>
      <c r="P616" s="226">
        <v>50</v>
      </c>
      <c r="Q616" s="226">
        <v>50</v>
      </c>
      <c r="R616" s="227">
        <v>200</v>
      </c>
      <c r="S616" s="226">
        <v>50</v>
      </c>
      <c r="T616" s="226">
        <v>50</v>
      </c>
      <c r="U616" s="226">
        <v>50</v>
      </c>
      <c r="V616" s="226">
        <v>50</v>
      </c>
      <c r="W616" s="227">
        <v>200</v>
      </c>
    </row>
    <row r="617" spans="1:23" s="224" customFormat="1" ht="12.75" x14ac:dyDescent="0.2">
      <c r="A617" s="225"/>
      <c r="B617" s="225" t="s">
        <v>899</v>
      </c>
      <c r="C617" s="226"/>
      <c r="D617" s="226">
        <v>0</v>
      </c>
      <c r="E617" s="226">
        <v>0</v>
      </c>
      <c r="F617" s="226">
        <v>0</v>
      </c>
      <c r="G617" s="226">
        <v>0</v>
      </c>
      <c r="H617" s="227">
        <v>0</v>
      </c>
      <c r="I617" s="226">
        <v>115</v>
      </c>
      <c r="J617" s="226">
        <v>50</v>
      </c>
      <c r="K617" s="226">
        <v>195</v>
      </c>
      <c r="L617" s="226">
        <v>50</v>
      </c>
      <c r="M617" s="227">
        <v>410</v>
      </c>
      <c r="N617" s="226">
        <v>50</v>
      </c>
      <c r="O617" s="226">
        <v>50</v>
      </c>
      <c r="P617" s="226">
        <v>50</v>
      </c>
      <c r="Q617" s="226">
        <v>50</v>
      </c>
      <c r="R617" s="227">
        <v>200</v>
      </c>
      <c r="S617" s="226">
        <v>50</v>
      </c>
      <c r="T617" s="226">
        <v>50</v>
      </c>
      <c r="U617" s="226">
        <v>50</v>
      </c>
      <c r="V617" s="226">
        <v>50</v>
      </c>
      <c r="W617" s="227">
        <v>200</v>
      </c>
    </row>
    <row r="618" spans="1:23" s="224" customFormat="1" ht="12.75" x14ac:dyDescent="0.2">
      <c r="A618" s="225"/>
      <c r="B618" s="225" t="s">
        <v>900</v>
      </c>
      <c r="C618" s="226"/>
      <c r="D618" s="226">
        <v>0</v>
      </c>
      <c r="E618" s="226">
        <v>0</v>
      </c>
      <c r="F618" s="226">
        <v>0</v>
      </c>
      <c r="G618" s="226">
        <v>0</v>
      </c>
      <c r="H618" s="227">
        <v>0</v>
      </c>
      <c r="I618" s="226">
        <v>50</v>
      </c>
      <c r="J618" s="226">
        <v>50</v>
      </c>
      <c r="K618" s="226">
        <v>50</v>
      </c>
      <c r="L618" s="226">
        <v>50</v>
      </c>
      <c r="M618" s="227">
        <v>200</v>
      </c>
      <c r="N618" s="226">
        <v>50</v>
      </c>
      <c r="O618" s="226">
        <v>50</v>
      </c>
      <c r="P618" s="226">
        <v>50</v>
      </c>
      <c r="Q618" s="226">
        <v>50</v>
      </c>
      <c r="R618" s="227">
        <v>200</v>
      </c>
      <c r="S618" s="226">
        <v>50</v>
      </c>
      <c r="T618" s="226">
        <v>50</v>
      </c>
      <c r="U618" s="226">
        <v>50</v>
      </c>
      <c r="V618" s="226">
        <v>50</v>
      </c>
      <c r="W618" s="227">
        <v>200</v>
      </c>
    </row>
    <row r="619" spans="1:23" s="224" customFormat="1" ht="12.75" x14ac:dyDescent="0.2">
      <c r="A619" s="225"/>
      <c r="B619" s="225" t="s">
        <v>888</v>
      </c>
      <c r="C619" s="226"/>
      <c r="D619" s="226">
        <v>0</v>
      </c>
      <c r="E619" s="226">
        <v>0</v>
      </c>
      <c r="F619" s="226">
        <v>0</v>
      </c>
      <c r="G619" s="226">
        <v>6.1</v>
      </c>
      <c r="H619" s="227">
        <v>6.1</v>
      </c>
      <c r="I619" s="226">
        <v>100</v>
      </c>
      <c r="J619" s="226">
        <v>165</v>
      </c>
      <c r="K619" s="226">
        <v>100</v>
      </c>
      <c r="L619" s="226">
        <v>100</v>
      </c>
      <c r="M619" s="227">
        <v>465</v>
      </c>
      <c r="N619" s="226">
        <v>100</v>
      </c>
      <c r="O619" s="226">
        <v>100</v>
      </c>
      <c r="P619" s="226">
        <v>100</v>
      </c>
      <c r="Q619" s="226">
        <v>100</v>
      </c>
      <c r="R619" s="227">
        <v>400</v>
      </c>
      <c r="S619" s="226">
        <v>100</v>
      </c>
      <c r="T619" s="226">
        <v>100</v>
      </c>
      <c r="U619" s="226">
        <v>100</v>
      </c>
      <c r="V619" s="226">
        <v>100</v>
      </c>
      <c r="W619" s="227">
        <v>400</v>
      </c>
    </row>
    <row r="620" spans="1:23" s="224" customFormat="1" ht="12.75" x14ac:dyDescent="0.2">
      <c r="A620" s="225"/>
      <c r="B620" s="225" t="s">
        <v>901</v>
      </c>
      <c r="C620" s="226"/>
      <c r="D620" s="226">
        <v>0</v>
      </c>
      <c r="E620" s="226">
        <v>0</v>
      </c>
      <c r="F620" s="226">
        <v>0</v>
      </c>
      <c r="G620" s="226">
        <v>14.833333</v>
      </c>
      <c r="H620" s="227">
        <v>14.833333</v>
      </c>
      <c r="I620" s="226">
        <v>50</v>
      </c>
      <c r="J620" s="226">
        <v>50</v>
      </c>
      <c r="K620" s="226">
        <v>115</v>
      </c>
      <c r="L620" s="226">
        <v>50</v>
      </c>
      <c r="M620" s="227">
        <v>265</v>
      </c>
      <c r="N620" s="226">
        <v>50</v>
      </c>
      <c r="O620" s="226">
        <v>50</v>
      </c>
      <c r="P620" s="226">
        <v>50</v>
      </c>
      <c r="Q620" s="226">
        <v>50</v>
      </c>
      <c r="R620" s="227">
        <v>200</v>
      </c>
      <c r="S620" s="226">
        <v>50</v>
      </c>
      <c r="T620" s="226">
        <v>50</v>
      </c>
      <c r="U620" s="226">
        <v>50</v>
      </c>
      <c r="V620" s="226">
        <v>50</v>
      </c>
      <c r="W620" s="227">
        <v>200</v>
      </c>
    </row>
    <row r="621" spans="1:23" s="224" customFormat="1" ht="12.75" x14ac:dyDescent="0.2">
      <c r="A621" s="225"/>
      <c r="B621" s="225" t="s">
        <v>730</v>
      </c>
      <c r="C621" s="226"/>
      <c r="D621" s="226">
        <v>0</v>
      </c>
      <c r="E621" s="226">
        <v>0</v>
      </c>
      <c r="F621" s="226">
        <v>0</v>
      </c>
      <c r="G621" s="226">
        <v>71</v>
      </c>
      <c r="H621" s="227">
        <v>71</v>
      </c>
      <c r="I621" s="226">
        <v>175</v>
      </c>
      <c r="J621" s="226">
        <v>50</v>
      </c>
      <c r="K621" s="226">
        <v>50</v>
      </c>
      <c r="L621" s="226">
        <v>50</v>
      </c>
      <c r="M621" s="227">
        <v>325</v>
      </c>
      <c r="N621" s="226">
        <v>50</v>
      </c>
      <c r="O621" s="226">
        <v>50</v>
      </c>
      <c r="P621" s="226">
        <v>50</v>
      </c>
      <c r="Q621" s="226">
        <v>50</v>
      </c>
      <c r="R621" s="227">
        <v>200</v>
      </c>
      <c r="S621" s="226">
        <v>50</v>
      </c>
      <c r="T621" s="226">
        <v>50</v>
      </c>
      <c r="U621" s="226">
        <v>50</v>
      </c>
      <c r="V621" s="226">
        <v>50</v>
      </c>
      <c r="W621" s="227">
        <v>200</v>
      </c>
    </row>
    <row r="622" spans="1:23" s="224" customFormat="1" ht="12.75" x14ac:dyDescent="0.2">
      <c r="A622" s="225"/>
      <c r="B622" s="225" t="s">
        <v>489</v>
      </c>
      <c r="C622" s="226"/>
      <c r="D622" s="226">
        <v>0</v>
      </c>
      <c r="E622" s="226">
        <v>0</v>
      </c>
      <c r="F622" s="226">
        <v>0</v>
      </c>
      <c r="G622" s="226">
        <v>0</v>
      </c>
      <c r="H622" s="227">
        <v>0</v>
      </c>
      <c r="I622" s="226">
        <v>50</v>
      </c>
      <c r="J622" s="226">
        <v>50</v>
      </c>
      <c r="K622" s="226">
        <v>50</v>
      </c>
      <c r="L622" s="226">
        <v>50</v>
      </c>
      <c r="M622" s="227">
        <v>200</v>
      </c>
      <c r="N622" s="226">
        <v>50</v>
      </c>
      <c r="O622" s="226">
        <v>50</v>
      </c>
      <c r="P622" s="226">
        <v>50</v>
      </c>
      <c r="Q622" s="226">
        <v>50</v>
      </c>
      <c r="R622" s="227">
        <v>200</v>
      </c>
      <c r="S622" s="226">
        <v>50</v>
      </c>
      <c r="T622" s="226">
        <v>50</v>
      </c>
      <c r="U622" s="226">
        <v>50</v>
      </c>
      <c r="V622" s="226">
        <v>50</v>
      </c>
      <c r="W622" s="227">
        <v>200</v>
      </c>
    </row>
    <row r="623" spans="1:23" s="224" customFormat="1" ht="12.75" x14ac:dyDescent="0.2">
      <c r="A623" s="225"/>
      <c r="B623" s="225" t="s">
        <v>517</v>
      </c>
      <c r="C623" s="226"/>
      <c r="D623" s="226">
        <v>0</v>
      </c>
      <c r="E623" s="226">
        <v>0</v>
      </c>
      <c r="F623" s="226">
        <v>0</v>
      </c>
      <c r="G623" s="226">
        <v>0</v>
      </c>
      <c r="H623" s="227">
        <v>0</v>
      </c>
      <c r="I623" s="226">
        <v>50</v>
      </c>
      <c r="J623" s="226">
        <v>50</v>
      </c>
      <c r="K623" s="226">
        <v>50</v>
      </c>
      <c r="L623" s="226">
        <v>50</v>
      </c>
      <c r="M623" s="227">
        <v>200</v>
      </c>
      <c r="N623" s="226">
        <v>50</v>
      </c>
      <c r="O623" s="226">
        <v>50</v>
      </c>
      <c r="P623" s="226">
        <v>50</v>
      </c>
      <c r="Q623" s="226">
        <v>50</v>
      </c>
      <c r="R623" s="227">
        <v>200</v>
      </c>
      <c r="S623" s="226">
        <v>50</v>
      </c>
      <c r="T623" s="226">
        <v>50</v>
      </c>
      <c r="U623" s="226">
        <v>50</v>
      </c>
      <c r="V623" s="226">
        <v>50</v>
      </c>
      <c r="W623" s="227">
        <v>200</v>
      </c>
    </row>
    <row r="624" spans="1:23" s="224" customFormat="1" ht="12.75" x14ac:dyDescent="0.2">
      <c r="A624" s="225"/>
      <c r="B624" s="225" t="s">
        <v>499</v>
      </c>
      <c r="C624" s="226"/>
      <c r="D624" s="226">
        <v>0</v>
      </c>
      <c r="E624" s="226">
        <v>0</v>
      </c>
      <c r="F624" s="226">
        <v>0</v>
      </c>
      <c r="G624" s="226">
        <v>30</v>
      </c>
      <c r="H624" s="227">
        <v>30</v>
      </c>
      <c r="I624" s="226">
        <v>205</v>
      </c>
      <c r="J624" s="226">
        <v>50</v>
      </c>
      <c r="K624" s="226">
        <v>50</v>
      </c>
      <c r="L624" s="226">
        <v>50</v>
      </c>
      <c r="M624" s="227">
        <v>355</v>
      </c>
      <c r="N624" s="226">
        <v>50</v>
      </c>
      <c r="O624" s="226">
        <v>50</v>
      </c>
      <c r="P624" s="226">
        <v>50</v>
      </c>
      <c r="Q624" s="226">
        <v>50</v>
      </c>
      <c r="R624" s="227">
        <v>200</v>
      </c>
      <c r="S624" s="226">
        <v>50</v>
      </c>
      <c r="T624" s="226">
        <v>50</v>
      </c>
      <c r="U624" s="226">
        <v>50</v>
      </c>
      <c r="V624" s="226">
        <v>50</v>
      </c>
      <c r="W624" s="227">
        <v>200</v>
      </c>
    </row>
    <row r="625" spans="1:23" s="224" customFormat="1" ht="12.75" x14ac:dyDescent="0.2">
      <c r="A625" s="225"/>
      <c r="B625" s="225" t="s">
        <v>487</v>
      </c>
      <c r="C625" s="226"/>
      <c r="D625" s="226">
        <v>0</v>
      </c>
      <c r="E625" s="226">
        <v>0</v>
      </c>
      <c r="F625" s="226">
        <v>0</v>
      </c>
      <c r="G625" s="226">
        <v>50</v>
      </c>
      <c r="H625" s="227">
        <v>50</v>
      </c>
      <c r="I625" s="226">
        <v>50</v>
      </c>
      <c r="J625" s="226">
        <v>50</v>
      </c>
      <c r="K625" s="226">
        <v>50</v>
      </c>
      <c r="L625" s="226">
        <v>50</v>
      </c>
      <c r="M625" s="227">
        <v>200</v>
      </c>
      <c r="N625" s="226">
        <v>50</v>
      </c>
      <c r="O625" s="226">
        <v>50</v>
      </c>
      <c r="P625" s="226">
        <v>50</v>
      </c>
      <c r="Q625" s="226">
        <v>50</v>
      </c>
      <c r="R625" s="227">
        <v>200</v>
      </c>
      <c r="S625" s="226">
        <v>50</v>
      </c>
      <c r="T625" s="226">
        <v>50</v>
      </c>
      <c r="U625" s="226">
        <v>50</v>
      </c>
      <c r="V625" s="226">
        <v>50</v>
      </c>
      <c r="W625" s="227">
        <v>200</v>
      </c>
    </row>
    <row r="626" spans="1:23" s="224" customFormat="1" ht="12.75" x14ac:dyDescent="0.2">
      <c r="A626" s="225"/>
      <c r="B626" s="225" t="s">
        <v>488</v>
      </c>
      <c r="C626" s="226"/>
      <c r="D626" s="226">
        <v>0</v>
      </c>
      <c r="E626" s="226">
        <v>0</v>
      </c>
      <c r="F626" s="226">
        <v>0</v>
      </c>
      <c r="G626" s="226">
        <v>0</v>
      </c>
      <c r="H626" s="227">
        <v>0</v>
      </c>
      <c r="I626" s="226">
        <v>50</v>
      </c>
      <c r="J626" s="226">
        <v>50</v>
      </c>
      <c r="K626" s="226">
        <v>50</v>
      </c>
      <c r="L626" s="226">
        <v>50</v>
      </c>
      <c r="M626" s="227">
        <v>200</v>
      </c>
      <c r="N626" s="226">
        <v>50</v>
      </c>
      <c r="O626" s="226">
        <v>50</v>
      </c>
      <c r="P626" s="226">
        <v>50</v>
      </c>
      <c r="Q626" s="226">
        <v>50</v>
      </c>
      <c r="R626" s="227">
        <v>200</v>
      </c>
      <c r="S626" s="226">
        <v>50</v>
      </c>
      <c r="T626" s="226">
        <v>50</v>
      </c>
      <c r="U626" s="226">
        <v>50</v>
      </c>
      <c r="V626" s="226">
        <v>50</v>
      </c>
      <c r="W626" s="227">
        <v>200</v>
      </c>
    </row>
    <row r="627" spans="1:23" s="224" customFormat="1" ht="12.75" x14ac:dyDescent="0.2">
      <c r="A627" s="225"/>
      <c r="B627" s="225" t="s">
        <v>902</v>
      </c>
      <c r="C627" s="226"/>
      <c r="D627" s="226">
        <v>0</v>
      </c>
      <c r="E627" s="226">
        <v>0</v>
      </c>
      <c r="F627" s="226">
        <v>0</v>
      </c>
      <c r="G627" s="226">
        <v>130</v>
      </c>
      <c r="H627" s="227">
        <v>130</v>
      </c>
      <c r="I627" s="226">
        <v>175</v>
      </c>
      <c r="J627" s="226">
        <v>50</v>
      </c>
      <c r="K627" s="226">
        <v>50</v>
      </c>
      <c r="L627" s="226">
        <v>50</v>
      </c>
      <c r="M627" s="227">
        <v>325</v>
      </c>
      <c r="N627" s="226">
        <v>50</v>
      </c>
      <c r="O627" s="226">
        <v>50</v>
      </c>
      <c r="P627" s="226">
        <v>50</v>
      </c>
      <c r="Q627" s="226">
        <v>50</v>
      </c>
      <c r="R627" s="227">
        <v>200</v>
      </c>
      <c r="S627" s="226">
        <v>50</v>
      </c>
      <c r="T627" s="226">
        <v>50</v>
      </c>
      <c r="U627" s="226">
        <v>50</v>
      </c>
      <c r="V627" s="226">
        <v>50</v>
      </c>
      <c r="W627" s="227">
        <v>200</v>
      </c>
    </row>
    <row r="628" spans="1:23" s="224" customFormat="1" ht="12.75" x14ac:dyDescent="0.2">
      <c r="A628" s="225"/>
      <c r="B628" s="225" t="s">
        <v>903</v>
      </c>
      <c r="C628" s="226"/>
      <c r="D628" s="226">
        <v>0</v>
      </c>
      <c r="E628" s="226">
        <v>0</v>
      </c>
      <c r="F628" s="226">
        <v>0</v>
      </c>
      <c r="G628" s="226">
        <v>30</v>
      </c>
      <c r="H628" s="227">
        <v>30</v>
      </c>
      <c r="I628" s="226">
        <v>50</v>
      </c>
      <c r="J628" s="226">
        <v>50</v>
      </c>
      <c r="K628" s="226">
        <v>50</v>
      </c>
      <c r="L628" s="226">
        <v>50</v>
      </c>
      <c r="M628" s="227">
        <v>200</v>
      </c>
      <c r="N628" s="226">
        <v>50</v>
      </c>
      <c r="O628" s="226">
        <v>50</v>
      </c>
      <c r="P628" s="226">
        <v>50</v>
      </c>
      <c r="Q628" s="226">
        <v>50</v>
      </c>
      <c r="R628" s="227">
        <v>200</v>
      </c>
      <c r="S628" s="226">
        <v>50</v>
      </c>
      <c r="T628" s="226">
        <v>50</v>
      </c>
      <c r="U628" s="226">
        <v>50</v>
      </c>
      <c r="V628" s="226">
        <v>50</v>
      </c>
      <c r="W628" s="227">
        <v>200</v>
      </c>
    </row>
    <row r="629" spans="1:23" s="224" customFormat="1" ht="12.75" x14ac:dyDescent="0.2">
      <c r="A629" s="225"/>
      <c r="B629" s="225" t="s">
        <v>904</v>
      </c>
      <c r="C629" s="226"/>
      <c r="D629" s="226">
        <v>0</v>
      </c>
      <c r="E629" s="226">
        <v>0</v>
      </c>
      <c r="F629" s="226">
        <v>0</v>
      </c>
      <c r="G629" s="226">
        <v>0</v>
      </c>
      <c r="H629" s="227">
        <v>0</v>
      </c>
      <c r="I629" s="226">
        <v>370</v>
      </c>
      <c r="J629" s="226">
        <v>50</v>
      </c>
      <c r="K629" s="226">
        <v>50</v>
      </c>
      <c r="L629" s="226">
        <v>50</v>
      </c>
      <c r="M629" s="227">
        <v>520</v>
      </c>
      <c r="N629" s="226">
        <v>50</v>
      </c>
      <c r="O629" s="226">
        <v>50</v>
      </c>
      <c r="P629" s="226">
        <v>50</v>
      </c>
      <c r="Q629" s="226">
        <v>50</v>
      </c>
      <c r="R629" s="227">
        <v>200</v>
      </c>
      <c r="S629" s="226">
        <v>50</v>
      </c>
      <c r="T629" s="226">
        <v>50</v>
      </c>
      <c r="U629" s="226">
        <v>50</v>
      </c>
      <c r="V629" s="226">
        <v>50</v>
      </c>
      <c r="W629" s="227">
        <v>200</v>
      </c>
    </row>
    <row r="630" spans="1:23" s="224" customFormat="1" ht="12.75" x14ac:dyDescent="0.2">
      <c r="A630" s="225"/>
      <c r="B630" s="225" t="s">
        <v>905</v>
      </c>
      <c r="C630" s="226"/>
      <c r="D630" s="226">
        <v>0</v>
      </c>
      <c r="E630" s="226">
        <v>0</v>
      </c>
      <c r="F630" s="226">
        <v>0</v>
      </c>
      <c r="G630" s="226">
        <v>65</v>
      </c>
      <c r="H630" s="227">
        <v>65</v>
      </c>
      <c r="I630" s="226">
        <v>90</v>
      </c>
      <c r="J630" s="226">
        <v>270</v>
      </c>
      <c r="K630" s="226">
        <v>50</v>
      </c>
      <c r="L630" s="226">
        <v>50</v>
      </c>
      <c r="M630" s="227">
        <v>460</v>
      </c>
      <c r="N630" s="226">
        <v>50</v>
      </c>
      <c r="O630" s="226">
        <v>50</v>
      </c>
      <c r="P630" s="226">
        <v>50</v>
      </c>
      <c r="Q630" s="226">
        <v>50</v>
      </c>
      <c r="R630" s="227">
        <v>200</v>
      </c>
      <c r="S630" s="226">
        <v>50</v>
      </c>
      <c r="T630" s="226">
        <v>50</v>
      </c>
      <c r="U630" s="226">
        <v>50</v>
      </c>
      <c r="V630" s="226">
        <v>50</v>
      </c>
      <c r="W630" s="227">
        <v>200</v>
      </c>
    </row>
    <row r="631" spans="1:23" s="224" customFormat="1" ht="12.75" x14ac:dyDescent="0.2">
      <c r="A631" s="225"/>
      <c r="B631" s="225" t="s">
        <v>906</v>
      </c>
      <c r="C631" s="226"/>
      <c r="D631" s="226">
        <v>0</v>
      </c>
      <c r="E631" s="226">
        <v>0</v>
      </c>
      <c r="F631" s="226">
        <v>0</v>
      </c>
      <c r="G631" s="226">
        <v>70</v>
      </c>
      <c r="H631" s="227">
        <v>70</v>
      </c>
      <c r="I631" s="226">
        <v>50</v>
      </c>
      <c r="J631" s="226">
        <v>50</v>
      </c>
      <c r="K631" s="226">
        <v>50</v>
      </c>
      <c r="L631" s="226">
        <v>50</v>
      </c>
      <c r="M631" s="227">
        <v>200</v>
      </c>
      <c r="N631" s="226">
        <v>50</v>
      </c>
      <c r="O631" s="226">
        <v>50</v>
      </c>
      <c r="P631" s="226">
        <v>50</v>
      </c>
      <c r="Q631" s="226">
        <v>50</v>
      </c>
      <c r="R631" s="227">
        <v>200</v>
      </c>
      <c r="S631" s="226">
        <v>50</v>
      </c>
      <c r="T631" s="226">
        <v>50</v>
      </c>
      <c r="U631" s="226">
        <v>50</v>
      </c>
      <c r="V631" s="226">
        <v>50</v>
      </c>
      <c r="W631" s="227">
        <v>200</v>
      </c>
    </row>
    <row r="632" spans="1:23" s="224" customFormat="1" ht="12.75" x14ac:dyDescent="0.2">
      <c r="A632" s="225"/>
      <c r="B632" s="225" t="s">
        <v>907</v>
      </c>
      <c r="C632" s="226"/>
      <c r="D632" s="226">
        <v>0</v>
      </c>
      <c r="E632" s="226">
        <v>0</v>
      </c>
      <c r="F632" s="226">
        <v>0</v>
      </c>
      <c r="G632" s="226">
        <v>100</v>
      </c>
      <c r="H632" s="227">
        <v>100</v>
      </c>
      <c r="I632" s="226">
        <v>50</v>
      </c>
      <c r="J632" s="226">
        <v>205</v>
      </c>
      <c r="K632" s="226">
        <v>50</v>
      </c>
      <c r="L632" s="226">
        <v>50</v>
      </c>
      <c r="M632" s="227">
        <v>355</v>
      </c>
      <c r="N632" s="226">
        <v>50</v>
      </c>
      <c r="O632" s="226">
        <v>50</v>
      </c>
      <c r="P632" s="226">
        <v>50</v>
      </c>
      <c r="Q632" s="226">
        <v>50</v>
      </c>
      <c r="R632" s="227">
        <v>200</v>
      </c>
      <c r="S632" s="226">
        <v>50</v>
      </c>
      <c r="T632" s="226">
        <v>50</v>
      </c>
      <c r="U632" s="226">
        <v>50</v>
      </c>
      <c r="V632" s="226">
        <v>50</v>
      </c>
      <c r="W632" s="227">
        <v>200</v>
      </c>
    </row>
    <row r="633" spans="1:23" s="224" customFormat="1" ht="12.75" x14ac:dyDescent="0.2">
      <c r="A633" s="225"/>
      <c r="B633" s="225" t="s">
        <v>908</v>
      </c>
      <c r="C633" s="226"/>
      <c r="D633" s="226">
        <v>0</v>
      </c>
      <c r="E633" s="226">
        <v>0</v>
      </c>
      <c r="F633" s="226">
        <v>0</v>
      </c>
      <c r="G633" s="226">
        <v>100</v>
      </c>
      <c r="H633" s="227">
        <v>100</v>
      </c>
      <c r="I633" s="226">
        <v>50</v>
      </c>
      <c r="J633" s="226">
        <v>90</v>
      </c>
      <c r="K633" s="226">
        <v>50</v>
      </c>
      <c r="L633" s="226">
        <v>50</v>
      </c>
      <c r="M633" s="227">
        <v>240</v>
      </c>
      <c r="N633" s="226">
        <v>50</v>
      </c>
      <c r="O633" s="226">
        <v>50</v>
      </c>
      <c r="P633" s="226">
        <v>50</v>
      </c>
      <c r="Q633" s="226">
        <v>50</v>
      </c>
      <c r="R633" s="227">
        <v>200</v>
      </c>
      <c r="S633" s="226">
        <v>50</v>
      </c>
      <c r="T633" s="226">
        <v>50</v>
      </c>
      <c r="U633" s="226">
        <v>50</v>
      </c>
      <c r="V633" s="226">
        <v>50</v>
      </c>
      <c r="W633" s="227">
        <v>200</v>
      </c>
    </row>
    <row r="634" spans="1:23" s="224" customFormat="1" ht="12.75" x14ac:dyDescent="0.2">
      <c r="A634" s="225"/>
      <c r="B634" s="225" t="s">
        <v>725</v>
      </c>
      <c r="C634" s="226"/>
      <c r="D634" s="226">
        <v>0</v>
      </c>
      <c r="E634" s="226">
        <v>0</v>
      </c>
      <c r="F634" s="226">
        <v>0</v>
      </c>
      <c r="G634" s="226">
        <v>110</v>
      </c>
      <c r="H634" s="227">
        <v>110</v>
      </c>
      <c r="I634" s="226">
        <v>50</v>
      </c>
      <c r="J634" s="226">
        <v>115</v>
      </c>
      <c r="K634" s="226">
        <v>50</v>
      </c>
      <c r="L634" s="226">
        <v>50</v>
      </c>
      <c r="M634" s="227">
        <v>265</v>
      </c>
      <c r="N634" s="226">
        <v>50</v>
      </c>
      <c r="O634" s="226">
        <v>50</v>
      </c>
      <c r="P634" s="226">
        <v>50</v>
      </c>
      <c r="Q634" s="226">
        <v>50</v>
      </c>
      <c r="R634" s="227">
        <v>200</v>
      </c>
      <c r="S634" s="226">
        <v>50</v>
      </c>
      <c r="T634" s="226">
        <v>50</v>
      </c>
      <c r="U634" s="226">
        <v>50</v>
      </c>
      <c r="V634" s="226">
        <v>50</v>
      </c>
      <c r="W634" s="227">
        <v>200</v>
      </c>
    </row>
    <row r="635" spans="1:23" s="224" customFormat="1" ht="12.75" x14ac:dyDescent="0.2">
      <c r="A635" s="225"/>
      <c r="B635" s="225" t="s">
        <v>909</v>
      </c>
      <c r="C635" s="226"/>
      <c r="D635" s="226">
        <v>0</v>
      </c>
      <c r="E635" s="226">
        <v>0</v>
      </c>
      <c r="F635" s="226">
        <v>0</v>
      </c>
      <c r="G635" s="226">
        <v>0</v>
      </c>
      <c r="H635" s="227">
        <v>0</v>
      </c>
      <c r="I635" s="226">
        <v>50</v>
      </c>
      <c r="J635" s="226">
        <v>305</v>
      </c>
      <c r="K635" s="226">
        <v>50</v>
      </c>
      <c r="L635" s="226">
        <v>50</v>
      </c>
      <c r="M635" s="227">
        <v>455</v>
      </c>
      <c r="N635" s="226">
        <v>50</v>
      </c>
      <c r="O635" s="226">
        <v>50</v>
      </c>
      <c r="P635" s="226">
        <v>50</v>
      </c>
      <c r="Q635" s="226">
        <v>50</v>
      </c>
      <c r="R635" s="227">
        <v>200</v>
      </c>
      <c r="S635" s="226">
        <v>50</v>
      </c>
      <c r="T635" s="226">
        <v>50</v>
      </c>
      <c r="U635" s="226">
        <v>50</v>
      </c>
      <c r="V635" s="226">
        <v>50</v>
      </c>
      <c r="W635" s="227">
        <v>200</v>
      </c>
    </row>
    <row r="636" spans="1:23" s="224" customFormat="1" ht="12.75" x14ac:dyDescent="0.2">
      <c r="A636" s="225"/>
      <c r="B636" s="225" t="s">
        <v>910</v>
      </c>
      <c r="C636" s="226"/>
      <c r="D636" s="226">
        <v>0</v>
      </c>
      <c r="E636" s="226">
        <v>0</v>
      </c>
      <c r="F636" s="226">
        <v>0</v>
      </c>
      <c r="G636" s="226">
        <v>0</v>
      </c>
      <c r="H636" s="227">
        <v>0</v>
      </c>
      <c r="I636" s="226">
        <v>50</v>
      </c>
      <c r="J636" s="226">
        <v>50</v>
      </c>
      <c r="K636" s="226">
        <v>50</v>
      </c>
      <c r="L636" s="226">
        <v>50</v>
      </c>
      <c r="M636" s="227">
        <v>200</v>
      </c>
      <c r="N636" s="226">
        <v>50</v>
      </c>
      <c r="O636" s="226">
        <v>50</v>
      </c>
      <c r="P636" s="226">
        <v>50</v>
      </c>
      <c r="Q636" s="226">
        <v>50</v>
      </c>
      <c r="R636" s="227">
        <v>200</v>
      </c>
      <c r="S636" s="226">
        <v>50</v>
      </c>
      <c r="T636" s="226">
        <v>50</v>
      </c>
      <c r="U636" s="226">
        <v>50</v>
      </c>
      <c r="V636" s="226">
        <v>50</v>
      </c>
      <c r="W636" s="227">
        <v>200</v>
      </c>
    </row>
    <row r="637" spans="1:23" s="224" customFormat="1" ht="12.75" x14ac:dyDescent="0.2">
      <c r="A637" s="225"/>
      <c r="B637" s="225" t="s">
        <v>911</v>
      </c>
      <c r="C637" s="226"/>
      <c r="D637" s="226">
        <v>0</v>
      </c>
      <c r="E637" s="226">
        <v>0</v>
      </c>
      <c r="F637" s="226">
        <v>0</v>
      </c>
      <c r="G637" s="226">
        <v>100</v>
      </c>
      <c r="H637" s="227">
        <v>100</v>
      </c>
      <c r="I637" s="226">
        <v>50</v>
      </c>
      <c r="J637" s="226">
        <v>115</v>
      </c>
      <c r="K637" s="226">
        <v>50</v>
      </c>
      <c r="L637" s="226">
        <v>50</v>
      </c>
      <c r="M637" s="227">
        <v>265</v>
      </c>
      <c r="N637" s="226">
        <v>50</v>
      </c>
      <c r="O637" s="226">
        <v>50</v>
      </c>
      <c r="P637" s="226">
        <v>50</v>
      </c>
      <c r="Q637" s="226">
        <v>50</v>
      </c>
      <c r="R637" s="227">
        <v>200</v>
      </c>
      <c r="S637" s="226">
        <v>50</v>
      </c>
      <c r="T637" s="226">
        <v>50</v>
      </c>
      <c r="U637" s="226">
        <v>50</v>
      </c>
      <c r="V637" s="226">
        <v>50</v>
      </c>
      <c r="W637" s="227">
        <v>200</v>
      </c>
    </row>
    <row r="638" spans="1:23" s="224" customFormat="1" ht="12.75" x14ac:dyDescent="0.2">
      <c r="A638" s="225"/>
      <c r="B638" s="225" t="s">
        <v>912</v>
      </c>
      <c r="C638" s="226"/>
      <c r="D638" s="226">
        <v>0</v>
      </c>
      <c r="E638" s="226">
        <v>0</v>
      </c>
      <c r="F638" s="226">
        <v>0</v>
      </c>
      <c r="G638" s="226">
        <v>15</v>
      </c>
      <c r="H638" s="227">
        <v>15</v>
      </c>
      <c r="I638" s="226">
        <v>50</v>
      </c>
      <c r="J638" s="226">
        <v>175</v>
      </c>
      <c r="K638" s="226">
        <v>205</v>
      </c>
      <c r="L638" s="226">
        <v>50</v>
      </c>
      <c r="M638" s="227">
        <v>480</v>
      </c>
      <c r="N638" s="226">
        <v>50</v>
      </c>
      <c r="O638" s="226">
        <v>50</v>
      </c>
      <c r="P638" s="226">
        <v>50</v>
      </c>
      <c r="Q638" s="226">
        <v>50</v>
      </c>
      <c r="R638" s="227">
        <v>200</v>
      </c>
      <c r="S638" s="226">
        <v>50</v>
      </c>
      <c r="T638" s="226">
        <v>50</v>
      </c>
      <c r="U638" s="226">
        <v>50</v>
      </c>
      <c r="V638" s="226">
        <v>50</v>
      </c>
      <c r="W638" s="227">
        <v>200</v>
      </c>
    </row>
    <row r="639" spans="1:23" s="224" customFormat="1" ht="12.75" x14ac:dyDescent="0.2">
      <c r="A639" s="225"/>
      <c r="B639" s="225" t="s">
        <v>913</v>
      </c>
      <c r="C639" s="226"/>
      <c r="D639" s="226">
        <v>0</v>
      </c>
      <c r="E639" s="226">
        <v>0</v>
      </c>
      <c r="F639" s="226">
        <v>0</v>
      </c>
      <c r="G639" s="226">
        <v>15</v>
      </c>
      <c r="H639" s="227">
        <v>15</v>
      </c>
      <c r="I639" s="226">
        <v>50</v>
      </c>
      <c r="J639" s="226">
        <v>110</v>
      </c>
      <c r="K639" s="226">
        <v>50</v>
      </c>
      <c r="L639" s="226">
        <v>50</v>
      </c>
      <c r="M639" s="227">
        <v>260</v>
      </c>
      <c r="N639" s="226">
        <v>50</v>
      </c>
      <c r="O639" s="226">
        <v>50</v>
      </c>
      <c r="P639" s="226">
        <v>50</v>
      </c>
      <c r="Q639" s="226">
        <v>50</v>
      </c>
      <c r="R639" s="227">
        <v>200</v>
      </c>
      <c r="S639" s="226">
        <v>50</v>
      </c>
      <c r="T639" s="226">
        <v>50</v>
      </c>
      <c r="U639" s="226">
        <v>50</v>
      </c>
      <c r="V639" s="226">
        <v>50</v>
      </c>
      <c r="W639" s="227">
        <v>200</v>
      </c>
    </row>
    <row r="640" spans="1:23" s="224" customFormat="1" ht="12.75" x14ac:dyDescent="0.2">
      <c r="A640" s="225"/>
      <c r="B640" s="225" t="s">
        <v>914</v>
      </c>
      <c r="C640" s="226"/>
      <c r="D640" s="226">
        <v>0</v>
      </c>
      <c r="E640" s="226">
        <v>0</v>
      </c>
      <c r="F640" s="226">
        <v>0</v>
      </c>
      <c r="G640" s="226">
        <v>0</v>
      </c>
      <c r="H640" s="227">
        <v>0</v>
      </c>
      <c r="I640" s="226">
        <v>50</v>
      </c>
      <c r="J640" s="226">
        <v>50</v>
      </c>
      <c r="K640" s="226">
        <v>265</v>
      </c>
      <c r="L640" s="226">
        <v>50</v>
      </c>
      <c r="M640" s="227">
        <v>415</v>
      </c>
      <c r="N640" s="226">
        <v>50</v>
      </c>
      <c r="O640" s="226">
        <v>50</v>
      </c>
      <c r="P640" s="226">
        <v>50</v>
      </c>
      <c r="Q640" s="226">
        <v>50</v>
      </c>
      <c r="R640" s="227">
        <v>200</v>
      </c>
      <c r="S640" s="226">
        <v>50</v>
      </c>
      <c r="T640" s="226">
        <v>50</v>
      </c>
      <c r="U640" s="226">
        <v>50</v>
      </c>
      <c r="V640" s="226">
        <v>50</v>
      </c>
      <c r="W640" s="227">
        <v>200</v>
      </c>
    </row>
    <row r="641" spans="1:23" s="224" customFormat="1" ht="12.75" x14ac:dyDescent="0.2">
      <c r="A641" s="225"/>
      <c r="B641" s="225" t="s">
        <v>915</v>
      </c>
      <c r="C641" s="226"/>
      <c r="D641" s="226">
        <v>0</v>
      </c>
      <c r="E641" s="226">
        <v>0</v>
      </c>
      <c r="F641" s="226">
        <v>0</v>
      </c>
      <c r="G641" s="226">
        <v>0</v>
      </c>
      <c r="H641" s="227">
        <v>0</v>
      </c>
      <c r="I641" s="226">
        <v>50</v>
      </c>
      <c r="J641" s="226">
        <v>50</v>
      </c>
      <c r="K641" s="226">
        <v>175</v>
      </c>
      <c r="L641" s="226">
        <v>205</v>
      </c>
      <c r="M641" s="227">
        <v>480</v>
      </c>
      <c r="N641" s="226">
        <v>50</v>
      </c>
      <c r="O641" s="226">
        <v>50</v>
      </c>
      <c r="P641" s="226">
        <v>50</v>
      </c>
      <c r="Q641" s="226">
        <v>50</v>
      </c>
      <c r="R641" s="227">
        <v>200</v>
      </c>
      <c r="S641" s="226">
        <v>50</v>
      </c>
      <c r="T641" s="226">
        <v>50</v>
      </c>
      <c r="U641" s="226">
        <v>50</v>
      </c>
      <c r="V641" s="226">
        <v>50</v>
      </c>
      <c r="W641" s="227">
        <v>200</v>
      </c>
    </row>
    <row r="642" spans="1:23" s="224" customFormat="1" ht="12.75" x14ac:dyDescent="0.2">
      <c r="A642" s="225"/>
      <c r="B642" s="225" t="s">
        <v>916</v>
      </c>
      <c r="C642" s="226"/>
      <c r="D642" s="226">
        <v>0</v>
      </c>
      <c r="E642" s="226">
        <v>0</v>
      </c>
      <c r="F642" s="226">
        <v>0</v>
      </c>
      <c r="G642" s="226">
        <v>0</v>
      </c>
      <c r="H642" s="227">
        <v>0</v>
      </c>
      <c r="I642" s="226">
        <v>90</v>
      </c>
      <c r="J642" s="226">
        <v>50</v>
      </c>
      <c r="K642" s="226">
        <v>110</v>
      </c>
      <c r="L642" s="226">
        <v>50</v>
      </c>
      <c r="M642" s="227">
        <v>300</v>
      </c>
      <c r="N642" s="226">
        <v>50</v>
      </c>
      <c r="O642" s="226">
        <v>50</v>
      </c>
      <c r="P642" s="226">
        <v>50</v>
      </c>
      <c r="Q642" s="226">
        <v>50</v>
      </c>
      <c r="R642" s="227">
        <v>200</v>
      </c>
      <c r="S642" s="226">
        <v>50</v>
      </c>
      <c r="T642" s="226">
        <v>50</v>
      </c>
      <c r="U642" s="226">
        <v>50</v>
      </c>
      <c r="V642" s="226">
        <v>50</v>
      </c>
      <c r="W642" s="227">
        <v>200</v>
      </c>
    </row>
    <row r="643" spans="1:23" s="224" customFormat="1" ht="12.75" x14ac:dyDescent="0.2">
      <c r="A643" s="225"/>
      <c r="B643" s="225" t="s">
        <v>917</v>
      </c>
      <c r="C643" s="226"/>
      <c r="D643" s="226">
        <v>0</v>
      </c>
      <c r="E643" s="226">
        <v>0</v>
      </c>
      <c r="F643" s="226">
        <v>0</v>
      </c>
      <c r="G643" s="226">
        <v>0</v>
      </c>
      <c r="H643" s="227">
        <v>0</v>
      </c>
      <c r="I643" s="226">
        <v>50</v>
      </c>
      <c r="J643" s="226">
        <v>50</v>
      </c>
      <c r="K643" s="226">
        <v>115</v>
      </c>
      <c r="L643" s="226">
        <v>265</v>
      </c>
      <c r="M643" s="227">
        <v>480</v>
      </c>
      <c r="N643" s="226">
        <v>50</v>
      </c>
      <c r="O643" s="226">
        <v>50</v>
      </c>
      <c r="P643" s="226">
        <v>50</v>
      </c>
      <c r="Q643" s="226">
        <v>50</v>
      </c>
      <c r="R643" s="227">
        <v>200</v>
      </c>
      <c r="S643" s="226">
        <v>50</v>
      </c>
      <c r="T643" s="226">
        <v>50</v>
      </c>
      <c r="U643" s="226">
        <v>50</v>
      </c>
      <c r="V643" s="226">
        <v>50</v>
      </c>
      <c r="W643" s="227">
        <v>200</v>
      </c>
    </row>
    <row r="644" spans="1:23" s="224" customFormat="1" ht="12.75" x14ac:dyDescent="0.2">
      <c r="A644" s="225"/>
      <c r="B644" s="225" t="s">
        <v>918</v>
      </c>
      <c r="C644" s="226"/>
      <c r="D644" s="226">
        <v>0</v>
      </c>
      <c r="E644" s="226">
        <v>0</v>
      </c>
      <c r="F644" s="226">
        <v>0</v>
      </c>
      <c r="G644" s="226">
        <v>0</v>
      </c>
      <c r="H644" s="227">
        <v>0</v>
      </c>
      <c r="I644" s="226">
        <v>50</v>
      </c>
      <c r="J644" s="226">
        <v>50</v>
      </c>
      <c r="K644" s="226">
        <v>50</v>
      </c>
      <c r="L644" s="226">
        <v>50</v>
      </c>
      <c r="M644" s="227">
        <v>200</v>
      </c>
      <c r="N644" s="226">
        <v>50</v>
      </c>
      <c r="O644" s="226">
        <v>50</v>
      </c>
      <c r="P644" s="226">
        <v>50</v>
      </c>
      <c r="Q644" s="226">
        <v>50</v>
      </c>
      <c r="R644" s="227">
        <v>200</v>
      </c>
      <c r="S644" s="226">
        <v>50</v>
      </c>
      <c r="T644" s="226">
        <v>50</v>
      </c>
      <c r="U644" s="226">
        <v>50</v>
      </c>
      <c r="V644" s="226">
        <v>50</v>
      </c>
      <c r="W644" s="227">
        <v>200</v>
      </c>
    </row>
    <row r="645" spans="1:23" s="224" customFormat="1" ht="12.75" x14ac:dyDescent="0.2">
      <c r="A645" s="225"/>
      <c r="B645" s="225" t="s">
        <v>919</v>
      </c>
      <c r="C645" s="226"/>
      <c r="D645" s="226">
        <v>0</v>
      </c>
      <c r="E645" s="226">
        <v>0</v>
      </c>
      <c r="F645" s="226">
        <v>0</v>
      </c>
      <c r="G645" s="226">
        <v>50</v>
      </c>
      <c r="H645" s="227">
        <v>50</v>
      </c>
      <c r="I645" s="226">
        <v>50</v>
      </c>
      <c r="J645" s="226">
        <v>50</v>
      </c>
      <c r="K645" s="226">
        <v>50</v>
      </c>
      <c r="L645" s="226">
        <v>175</v>
      </c>
      <c r="M645" s="227">
        <v>325</v>
      </c>
      <c r="N645" s="226">
        <v>50</v>
      </c>
      <c r="O645" s="226">
        <v>50</v>
      </c>
      <c r="P645" s="226">
        <v>50</v>
      </c>
      <c r="Q645" s="226">
        <v>50</v>
      </c>
      <c r="R645" s="227">
        <v>200</v>
      </c>
      <c r="S645" s="226">
        <v>50</v>
      </c>
      <c r="T645" s="226">
        <v>50</v>
      </c>
      <c r="U645" s="226">
        <v>50</v>
      </c>
      <c r="V645" s="226">
        <v>50</v>
      </c>
      <c r="W645" s="227">
        <v>200</v>
      </c>
    </row>
    <row r="646" spans="1:23" s="224" customFormat="1" ht="12.75" x14ac:dyDescent="0.2">
      <c r="A646" s="225"/>
      <c r="B646" s="225" t="s">
        <v>497</v>
      </c>
      <c r="C646" s="226"/>
      <c r="D646" s="226">
        <v>0</v>
      </c>
      <c r="E646" s="226">
        <v>0</v>
      </c>
      <c r="F646" s="226">
        <v>0</v>
      </c>
      <c r="G646" s="226">
        <v>0</v>
      </c>
      <c r="H646" s="227">
        <v>0</v>
      </c>
      <c r="I646" s="226">
        <v>50</v>
      </c>
      <c r="J646" s="226">
        <v>50</v>
      </c>
      <c r="K646" s="226">
        <v>50</v>
      </c>
      <c r="L646" s="226">
        <v>110</v>
      </c>
      <c r="M646" s="227">
        <v>260</v>
      </c>
      <c r="N646" s="226">
        <v>50</v>
      </c>
      <c r="O646" s="226">
        <v>50</v>
      </c>
      <c r="P646" s="226">
        <v>50</v>
      </c>
      <c r="Q646" s="226">
        <v>50</v>
      </c>
      <c r="R646" s="227">
        <v>200</v>
      </c>
      <c r="S646" s="226">
        <v>50</v>
      </c>
      <c r="T646" s="226">
        <v>50</v>
      </c>
      <c r="U646" s="226">
        <v>50</v>
      </c>
      <c r="V646" s="226">
        <v>50</v>
      </c>
      <c r="W646" s="227">
        <v>200</v>
      </c>
    </row>
    <row r="647" spans="1:23" s="224" customFormat="1" ht="12.75" x14ac:dyDescent="0.2">
      <c r="A647" s="225"/>
      <c r="B647" s="225" t="s">
        <v>920</v>
      </c>
      <c r="C647" s="226"/>
      <c r="D647" s="226">
        <v>0</v>
      </c>
      <c r="E647" s="226">
        <v>0</v>
      </c>
      <c r="F647" s="226">
        <v>0</v>
      </c>
      <c r="G647" s="226">
        <v>0</v>
      </c>
      <c r="H647" s="227">
        <v>0</v>
      </c>
      <c r="I647" s="226">
        <v>110</v>
      </c>
      <c r="J647" s="226">
        <v>50</v>
      </c>
      <c r="K647" s="226">
        <v>50</v>
      </c>
      <c r="L647" s="226">
        <v>50</v>
      </c>
      <c r="M647" s="227">
        <v>260</v>
      </c>
      <c r="N647" s="226">
        <v>50</v>
      </c>
      <c r="O647" s="226">
        <v>50</v>
      </c>
      <c r="P647" s="226">
        <v>50</v>
      </c>
      <c r="Q647" s="226">
        <v>50</v>
      </c>
      <c r="R647" s="227">
        <v>200</v>
      </c>
      <c r="S647" s="226">
        <v>50</v>
      </c>
      <c r="T647" s="226">
        <v>50</v>
      </c>
      <c r="U647" s="226">
        <v>50</v>
      </c>
      <c r="V647" s="226">
        <v>50</v>
      </c>
      <c r="W647" s="227">
        <v>200</v>
      </c>
    </row>
    <row r="648" spans="1:23" s="224" customFormat="1" ht="12.75" x14ac:dyDescent="0.2">
      <c r="A648" s="225"/>
      <c r="B648" s="225" t="s">
        <v>601</v>
      </c>
      <c r="C648" s="226"/>
      <c r="D648" s="226">
        <v>0</v>
      </c>
      <c r="E648" s="226">
        <v>0</v>
      </c>
      <c r="F648" s="226">
        <v>0</v>
      </c>
      <c r="G648" s="226">
        <v>50</v>
      </c>
      <c r="H648" s="227">
        <v>50</v>
      </c>
      <c r="I648" s="226">
        <v>50</v>
      </c>
      <c r="J648" s="226">
        <v>50</v>
      </c>
      <c r="K648" s="226">
        <v>50</v>
      </c>
      <c r="L648" s="226">
        <v>50</v>
      </c>
      <c r="M648" s="227">
        <v>200</v>
      </c>
      <c r="N648" s="226">
        <v>50</v>
      </c>
      <c r="O648" s="226">
        <v>50</v>
      </c>
      <c r="P648" s="226">
        <v>50</v>
      </c>
      <c r="Q648" s="226">
        <v>50</v>
      </c>
      <c r="R648" s="227">
        <v>200</v>
      </c>
      <c r="S648" s="226">
        <v>50</v>
      </c>
      <c r="T648" s="226">
        <v>50</v>
      </c>
      <c r="U648" s="226">
        <v>50</v>
      </c>
      <c r="V648" s="226">
        <v>50</v>
      </c>
      <c r="W648" s="227">
        <v>200</v>
      </c>
    </row>
    <row r="649" spans="1:23" s="224" customFormat="1" ht="12.75" x14ac:dyDescent="0.2">
      <c r="A649" s="225"/>
      <c r="B649" s="225" t="s">
        <v>474</v>
      </c>
      <c r="C649" s="226"/>
      <c r="D649" s="226">
        <v>0</v>
      </c>
      <c r="E649" s="226">
        <v>0</v>
      </c>
      <c r="F649" s="226">
        <v>0</v>
      </c>
      <c r="G649" s="226">
        <v>17</v>
      </c>
      <c r="H649" s="227">
        <v>17</v>
      </c>
      <c r="I649" s="226">
        <v>50</v>
      </c>
      <c r="J649" s="226">
        <v>50</v>
      </c>
      <c r="K649" s="226">
        <v>50</v>
      </c>
      <c r="L649" s="226">
        <v>50</v>
      </c>
      <c r="M649" s="227">
        <v>200</v>
      </c>
      <c r="N649" s="226">
        <v>50</v>
      </c>
      <c r="O649" s="226">
        <v>50</v>
      </c>
      <c r="P649" s="226">
        <v>50</v>
      </c>
      <c r="Q649" s="226">
        <v>50</v>
      </c>
      <c r="R649" s="227">
        <v>200</v>
      </c>
      <c r="S649" s="226">
        <v>50</v>
      </c>
      <c r="T649" s="226">
        <v>50</v>
      </c>
      <c r="U649" s="226">
        <v>50</v>
      </c>
      <c r="V649" s="226">
        <v>50</v>
      </c>
      <c r="W649" s="227">
        <v>200</v>
      </c>
    </row>
    <row r="650" spans="1:23" s="224" customFormat="1" ht="12.75" x14ac:dyDescent="0.2">
      <c r="A650" s="225"/>
      <c r="B650" s="225" t="s">
        <v>600</v>
      </c>
      <c r="C650" s="226"/>
      <c r="D650" s="226">
        <v>0</v>
      </c>
      <c r="E650" s="226">
        <v>0</v>
      </c>
      <c r="F650" s="226">
        <v>0</v>
      </c>
      <c r="G650" s="226">
        <v>0</v>
      </c>
      <c r="H650" s="227">
        <v>0</v>
      </c>
      <c r="I650" s="226">
        <v>50</v>
      </c>
      <c r="J650" s="226">
        <v>50</v>
      </c>
      <c r="K650" s="226">
        <v>50</v>
      </c>
      <c r="L650" s="226">
        <v>50</v>
      </c>
      <c r="M650" s="227">
        <v>200</v>
      </c>
      <c r="N650" s="226">
        <v>50</v>
      </c>
      <c r="O650" s="226">
        <v>50</v>
      </c>
      <c r="P650" s="226">
        <v>50</v>
      </c>
      <c r="Q650" s="226">
        <v>50</v>
      </c>
      <c r="R650" s="227">
        <v>200</v>
      </c>
      <c r="S650" s="226">
        <v>50</v>
      </c>
      <c r="T650" s="226">
        <v>50</v>
      </c>
      <c r="U650" s="226">
        <v>50</v>
      </c>
      <c r="V650" s="226">
        <v>50</v>
      </c>
      <c r="W650" s="227">
        <v>200</v>
      </c>
    </row>
    <row r="651" spans="1:23" s="224" customFormat="1" ht="12.75" x14ac:dyDescent="0.2">
      <c r="A651" s="225"/>
      <c r="B651" s="225" t="s">
        <v>921</v>
      </c>
      <c r="C651" s="226"/>
      <c r="D651" s="226">
        <v>0</v>
      </c>
      <c r="E651" s="226">
        <v>0</v>
      </c>
      <c r="F651" s="226">
        <v>0</v>
      </c>
      <c r="G651" s="226">
        <v>69</v>
      </c>
      <c r="H651" s="227">
        <v>69</v>
      </c>
      <c r="I651" s="226">
        <v>50</v>
      </c>
      <c r="J651" s="226">
        <v>50</v>
      </c>
      <c r="K651" s="226">
        <v>50</v>
      </c>
      <c r="L651" s="226">
        <v>50</v>
      </c>
      <c r="M651" s="227">
        <v>200</v>
      </c>
      <c r="N651" s="226">
        <v>50</v>
      </c>
      <c r="O651" s="226">
        <v>50</v>
      </c>
      <c r="P651" s="226">
        <v>50</v>
      </c>
      <c r="Q651" s="226">
        <v>50</v>
      </c>
      <c r="R651" s="227">
        <v>200</v>
      </c>
      <c r="S651" s="226">
        <v>50</v>
      </c>
      <c r="T651" s="226">
        <v>50</v>
      </c>
      <c r="U651" s="226">
        <v>50</v>
      </c>
      <c r="V651" s="226">
        <v>50</v>
      </c>
      <c r="W651" s="227">
        <v>200</v>
      </c>
    </row>
    <row r="652" spans="1:23" s="224" customFormat="1" ht="12.75" x14ac:dyDescent="0.2">
      <c r="A652" s="225"/>
      <c r="B652" s="225" t="s">
        <v>922</v>
      </c>
      <c r="C652" s="226"/>
      <c r="D652" s="226">
        <v>0</v>
      </c>
      <c r="E652" s="226">
        <v>0</v>
      </c>
      <c r="F652" s="226">
        <v>0</v>
      </c>
      <c r="G652" s="226">
        <v>111.5</v>
      </c>
      <c r="H652" s="227">
        <v>111.5</v>
      </c>
      <c r="I652" s="226">
        <v>50</v>
      </c>
      <c r="J652" s="226">
        <v>50</v>
      </c>
      <c r="K652" s="226">
        <v>50</v>
      </c>
      <c r="L652" s="226">
        <v>50</v>
      </c>
      <c r="M652" s="227">
        <v>200</v>
      </c>
      <c r="N652" s="226">
        <v>50</v>
      </c>
      <c r="O652" s="226">
        <v>50</v>
      </c>
      <c r="P652" s="226">
        <v>50</v>
      </c>
      <c r="Q652" s="226">
        <v>50</v>
      </c>
      <c r="R652" s="227">
        <v>200</v>
      </c>
      <c r="S652" s="226">
        <v>50</v>
      </c>
      <c r="T652" s="226">
        <v>50</v>
      </c>
      <c r="U652" s="226">
        <v>50</v>
      </c>
      <c r="V652" s="226">
        <v>50</v>
      </c>
      <c r="W652" s="227">
        <v>200</v>
      </c>
    </row>
    <row r="653" spans="1:23" s="224" customFormat="1" ht="12.75" x14ac:dyDescent="0.2">
      <c r="A653" s="225"/>
      <c r="B653" s="225" t="s">
        <v>472</v>
      </c>
      <c r="C653" s="226"/>
      <c r="D653" s="226">
        <v>0</v>
      </c>
      <c r="E653" s="226">
        <v>0</v>
      </c>
      <c r="F653" s="226">
        <v>0</v>
      </c>
      <c r="G653" s="226">
        <v>38.5</v>
      </c>
      <c r="H653" s="227">
        <v>38.5</v>
      </c>
      <c r="I653" s="226">
        <v>50</v>
      </c>
      <c r="J653" s="226">
        <v>50</v>
      </c>
      <c r="K653" s="226">
        <v>50</v>
      </c>
      <c r="L653" s="226">
        <v>50</v>
      </c>
      <c r="M653" s="227">
        <v>200</v>
      </c>
      <c r="N653" s="226">
        <v>50</v>
      </c>
      <c r="O653" s="226">
        <v>50</v>
      </c>
      <c r="P653" s="226">
        <v>50</v>
      </c>
      <c r="Q653" s="226">
        <v>50</v>
      </c>
      <c r="R653" s="227">
        <v>200</v>
      </c>
      <c r="S653" s="226">
        <v>50</v>
      </c>
      <c r="T653" s="226">
        <v>50</v>
      </c>
      <c r="U653" s="226">
        <v>50</v>
      </c>
      <c r="V653" s="226">
        <v>50</v>
      </c>
      <c r="W653" s="227">
        <v>200</v>
      </c>
    </row>
    <row r="654" spans="1:23" s="224" customFormat="1" ht="12.75" x14ac:dyDescent="0.2">
      <c r="A654" s="225"/>
      <c r="B654" s="225" t="s">
        <v>471</v>
      </c>
      <c r="C654" s="226"/>
      <c r="D654" s="226">
        <v>0</v>
      </c>
      <c r="E654" s="226">
        <v>0</v>
      </c>
      <c r="F654" s="226">
        <v>0</v>
      </c>
      <c r="G654" s="226">
        <v>0</v>
      </c>
      <c r="H654" s="227">
        <v>0</v>
      </c>
      <c r="I654" s="226">
        <v>50</v>
      </c>
      <c r="J654" s="226">
        <v>50</v>
      </c>
      <c r="K654" s="226">
        <v>50</v>
      </c>
      <c r="L654" s="226">
        <v>50</v>
      </c>
      <c r="M654" s="227">
        <v>200</v>
      </c>
      <c r="N654" s="226">
        <v>50</v>
      </c>
      <c r="O654" s="226">
        <v>50</v>
      </c>
      <c r="P654" s="226">
        <v>50</v>
      </c>
      <c r="Q654" s="226">
        <v>50</v>
      </c>
      <c r="R654" s="227">
        <v>200</v>
      </c>
      <c r="S654" s="226">
        <v>50</v>
      </c>
      <c r="T654" s="226">
        <v>50</v>
      </c>
      <c r="U654" s="226">
        <v>50</v>
      </c>
      <c r="V654" s="226">
        <v>50</v>
      </c>
      <c r="W654" s="227">
        <v>200</v>
      </c>
    </row>
    <row r="655" spans="1:23" s="224" customFormat="1" ht="12.75" x14ac:dyDescent="0.2">
      <c r="A655" s="225"/>
      <c r="B655" s="225" t="s">
        <v>465</v>
      </c>
      <c r="C655" s="226"/>
      <c r="D655" s="226">
        <v>0</v>
      </c>
      <c r="E655" s="226">
        <v>0</v>
      </c>
      <c r="F655" s="226">
        <v>0</v>
      </c>
      <c r="G655" s="226">
        <v>75</v>
      </c>
      <c r="H655" s="227">
        <v>75</v>
      </c>
      <c r="I655" s="226">
        <v>50</v>
      </c>
      <c r="J655" s="226">
        <v>50</v>
      </c>
      <c r="K655" s="226">
        <v>50</v>
      </c>
      <c r="L655" s="226">
        <v>50</v>
      </c>
      <c r="M655" s="227">
        <v>200</v>
      </c>
      <c r="N655" s="226">
        <v>50</v>
      </c>
      <c r="O655" s="226">
        <v>50</v>
      </c>
      <c r="P655" s="226">
        <v>50</v>
      </c>
      <c r="Q655" s="226">
        <v>50</v>
      </c>
      <c r="R655" s="227">
        <v>200</v>
      </c>
      <c r="S655" s="226">
        <v>50</v>
      </c>
      <c r="T655" s="226">
        <v>50</v>
      </c>
      <c r="U655" s="226">
        <v>50</v>
      </c>
      <c r="V655" s="226">
        <v>50</v>
      </c>
      <c r="W655" s="227">
        <v>200</v>
      </c>
    </row>
    <row r="656" spans="1:23" s="224" customFormat="1" ht="12.75" x14ac:dyDescent="0.2">
      <c r="A656" s="225"/>
      <c r="B656" s="225" t="s">
        <v>588</v>
      </c>
      <c r="C656" s="226"/>
      <c r="D656" s="226">
        <v>0</v>
      </c>
      <c r="E656" s="226">
        <v>0</v>
      </c>
      <c r="F656" s="226">
        <v>0</v>
      </c>
      <c r="G656" s="226">
        <v>85</v>
      </c>
      <c r="H656" s="227">
        <v>85</v>
      </c>
      <c r="I656" s="226">
        <v>120</v>
      </c>
      <c r="J656" s="226">
        <v>50</v>
      </c>
      <c r="K656" s="226">
        <v>50</v>
      </c>
      <c r="L656" s="226">
        <v>50</v>
      </c>
      <c r="M656" s="227">
        <v>270</v>
      </c>
      <c r="N656" s="226">
        <v>50</v>
      </c>
      <c r="O656" s="226">
        <v>50</v>
      </c>
      <c r="P656" s="226">
        <v>50</v>
      </c>
      <c r="Q656" s="226">
        <v>50</v>
      </c>
      <c r="R656" s="227">
        <v>200</v>
      </c>
      <c r="S656" s="226">
        <v>50</v>
      </c>
      <c r="T656" s="226">
        <v>50</v>
      </c>
      <c r="U656" s="226">
        <v>50</v>
      </c>
      <c r="V656" s="226">
        <v>50</v>
      </c>
      <c r="W656" s="227">
        <v>200</v>
      </c>
    </row>
    <row r="657" spans="1:23" s="224" customFormat="1" ht="12.75" x14ac:dyDescent="0.2">
      <c r="A657" s="225"/>
      <c r="B657" s="225" t="s">
        <v>728</v>
      </c>
      <c r="C657" s="226"/>
      <c r="D657" s="226">
        <v>0</v>
      </c>
      <c r="E657" s="226">
        <v>0</v>
      </c>
      <c r="F657" s="226">
        <v>0</v>
      </c>
      <c r="G657" s="226">
        <v>0</v>
      </c>
      <c r="H657" s="227">
        <v>0</v>
      </c>
      <c r="I657" s="226">
        <v>50</v>
      </c>
      <c r="J657" s="226">
        <v>50</v>
      </c>
      <c r="K657" s="226">
        <v>50</v>
      </c>
      <c r="L657" s="226">
        <v>50</v>
      </c>
      <c r="M657" s="227">
        <v>200</v>
      </c>
      <c r="N657" s="226">
        <v>50</v>
      </c>
      <c r="O657" s="226">
        <v>50</v>
      </c>
      <c r="P657" s="226">
        <v>50</v>
      </c>
      <c r="Q657" s="226">
        <v>50</v>
      </c>
      <c r="R657" s="227">
        <v>200</v>
      </c>
      <c r="S657" s="226">
        <v>50</v>
      </c>
      <c r="T657" s="226">
        <v>50</v>
      </c>
      <c r="U657" s="226">
        <v>50</v>
      </c>
      <c r="V657" s="226">
        <v>50</v>
      </c>
      <c r="W657" s="227">
        <v>200</v>
      </c>
    </row>
    <row r="658" spans="1:23" s="224" customFormat="1" ht="12.75" x14ac:dyDescent="0.2">
      <c r="A658" s="225"/>
      <c r="B658" s="225" t="s">
        <v>587</v>
      </c>
      <c r="C658" s="226"/>
      <c r="D658" s="226">
        <v>0</v>
      </c>
      <c r="E658" s="226">
        <v>0</v>
      </c>
      <c r="F658" s="226">
        <v>0</v>
      </c>
      <c r="G658" s="226">
        <v>210</v>
      </c>
      <c r="H658" s="227">
        <v>210</v>
      </c>
      <c r="I658" s="226">
        <v>50</v>
      </c>
      <c r="J658" s="226">
        <v>50</v>
      </c>
      <c r="K658" s="226">
        <v>50</v>
      </c>
      <c r="L658" s="226">
        <v>50</v>
      </c>
      <c r="M658" s="227">
        <v>200</v>
      </c>
      <c r="N658" s="226">
        <v>50</v>
      </c>
      <c r="O658" s="226">
        <v>50</v>
      </c>
      <c r="P658" s="226">
        <v>50</v>
      </c>
      <c r="Q658" s="226">
        <v>50</v>
      </c>
      <c r="R658" s="227">
        <v>200</v>
      </c>
      <c r="S658" s="226">
        <v>50</v>
      </c>
      <c r="T658" s="226">
        <v>50</v>
      </c>
      <c r="U658" s="226">
        <v>50</v>
      </c>
      <c r="V658" s="226">
        <v>50</v>
      </c>
      <c r="W658" s="227">
        <v>200</v>
      </c>
    </row>
    <row r="659" spans="1:23" s="224" customFormat="1" ht="12.75" x14ac:dyDescent="0.2">
      <c r="A659" s="225"/>
      <c r="B659" s="225" t="s">
        <v>923</v>
      </c>
      <c r="C659" s="226"/>
      <c r="D659" s="226">
        <v>0</v>
      </c>
      <c r="E659" s="226">
        <v>0</v>
      </c>
      <c r="F659" s="226">
        <v>0</v>
      </c>
      <c r="G659" s="226">
        <v>0</v>
      </c>
      <c r="H659" s="227">
        <v>0</v>
      </c>
      <c r="I659" s="226">
        <v>110</v>
      </c>
      <c r="J659" s="226">
        <v>50</v>
      </c>
      <c r="K659" s="226">
        <v>50</v>
      </c>
      <c r="L659" s="226">
        <v>50</v>
      </c>
      <c r="M659" s="227">
        <v>260</v>
      </c>
      <c r="N659" s="226">
        <v>50</v>
      </c>
      <c r="O659" s="226">
        <v>50</v>
      </c>
      <c r="P659" s="226">
        <v>50</v>
      </c>
      <c r="Q659" s="226">
        <v>50</v>
      </c>
      <c r="R659" s="227">
        <v>200</v>
      </c>
      <c r="S659" s="226">
        <v>50</v>
      </c>
      <c r="T659" s="226">
        <v>50</v>
      </c>
      <c r="U659" s="226">
        <v>50</v>
      </c>
      <c r="V659" s="226">
        <v>50</v>
      </c>
      <c r="W659" s="227">
        <v>200</v>
      </c>
    </row>
    <row r="660" spans="1:23" s="224" customFormat="1" ht="12.75" x14ac:dyDescent="0.2">
      <c r="A660" s="225"/>
      <c r="B660" s="225" t="s">
        <v>924</v>
      </c>
      <c r="C660" s="226"/>
      <c r="D660" s="226">
        <v>0</v>
      </c>
      <c r="E660" s="226">
        <v>0</v>
      </c>
      <c r="F660" s="226">
        <v>0</v>
      </c>
      <c r="G660" s="226">
        <v>0</v>
      </c>
      <c r="H660" s="227">
        <v>0</v>
      </c>
      <c r="I660" s="226">
        <v>50</v>
      </c>
      <c r="J660" s="226">
        <v>50</v>
      </c>
      <c r="K660" s="226">
        <v>50</v>
      </c>
      <c r="L660" s="226">
        <v>50</v>
      </c>
      <c r="M660" s="227">
        <v>200</v>
      </c>
      <c r="N660" s="226">
        <v>50</v>
      </c>
      <c r="O660" s="226">
        <v>50</v>
      </c>
      <c r="P660" s="226">
        <v>50</v>
      </c>
      <c r="Q660" s="226">
        <v>50</v>
      </c>
      <c r="R660" s="227">
        <v>200</v>
      </c>
      <c r="S660" s="226">
        <v>50</v>
      </c>
      <c r="T660" s="226">
        <v>50</v>
      </c>
      <c r="U660" s="226">
        <v>50</v>
      </c>
      <c r="V660" s="226">
        <v>50</v>
      </c>
      <c r="W660" s="227">
        <v>200</v>
      </c>
    </row>
    <row r="661" spans="1:23" s="224" customFormat="1" ht="12.75" x14ac:dyDescent="0.2">
      <c r="A661" s="225"/>
      <c r="B661" s="225" t="s">
        <v>925</v>
      </c>
      <c r="C661" s="226"/>
      <c r="D661" s="226">
        <v>0</v>
      </c>
      <c r="E661" s="226">
        <v>0</v>
      </c>
      <c r="F661" s="226">
        <v>0</v>
      </c>
      <c r="G661" s="226">
        <v>0</v>
      </c>
      <c r="H661" s="227">
        <v>0</v>
      </c>
      <c r="I661" s="226">
        <v>110</v>
      </c>
      <c r="J661" s="226">
        <v>50</v>
      </c>
      <c r="K661" s="226">
        <v>50</v>
      </c>
      <c r="L661" s="226">
        <v>50</v>
      </c>
      <c r="M661" s="227">
        <v>260</v>
      </c>
      <c r="N661" s="226">
        <v>50</v>
      </c>
      <c r="O661" s="226">
        <v>50</v>
      </c>
      <c r="P661" s="226">
        <v>50</v>
      </c>
      <c r="Q661" s="226">
        <v>50</v>
      </c>
      <c r="R661" s="227">
        <v>200</v>
      </c>
      <c r="S661" s="226">
        <v>50</v>
      </c>
      <c r="T661" s="226">
        <v>50</v>
      </c>
      <c r="U661" s="226">
        <v>50</v>
      </c>
      <c r="V661" s="226">
        <v>50</v>
      </c>
      <c r="W661" s="227">
        <v>200</v>
      </c>
    </row>
    <row r="662" spans="1:23" s="224" customFormat="1" ht="12.75" x14ac:dyDescent="0.2">
      <c r="A662" s="225"/>
      <c r="B662" s="225" t="s">
        <v>926</v>
      </c>
      <c r="C662" s="226"/>
      <c r="D662" s="226">
        <v>0</v>
      </c>
      <c r="E662" s="226">
        <v>0</v>
      </c>
      <c r="F662" s="226">
        <v>0</v>
      </c>
      <c r="G662" s="226">
        <v>0</v>
      </c>
      <c r="H662" s="227">
        <v>0</v>
      </c>
      <c r="I662" s="226">
        <v>50</v>
      </c>
      <c r="J662" s="226">
        <v>50</v>
      </c>
      <c r="K662" s="226">
        <v>50</v>
      </c>
      <c r="L662" s="226">
        <v>50</v>
      </c>
      <c r="M662" s="227">
        <v>200</v>
      </c>
      <c r="N662" s="226">
        <v>50</v>
      </c>
      <c r="O662" s="226">
        <v>50</v>
      </c>
      <c r="P662" s="226">
        <v>50</v>
      </c>
      <c r="Q662" s="226">
        <v>50</v>
      </c>
      <c r="R662" s="227">
        <v>200</v>
      </c>
      <c r="S662" s="226">
        <v>50</v>
      </c>
      <c r="T662" s="226">
        <v>50</v>
      </c>
      <c r="U662" s="226">
        <v>50</v>
      </c>
      <c r="V662" s="226">
        <v>50</v>
      </c>
      <c r="W662" s="227">
        <v>200</v>
      </c>
    </row>
    <row r="663" spans="1:23" s="224" customFormat="1" ht="12.75" x14ac:dyDescent="0.2">
      <c r="A663" s="225"/>
      <c r="B663" s="225" t="s">
        <v>927</v>
      </c>
      <c r="C663" s="226"/>
      <c r="D663" s="226">
        <v>0</v>
      </c>
      <c r="E663" s="226">
        <v>0</v>
      </c>
      <c r="F663" s="226">
        <v>0</v>
      </c>
      <c r="G663" s="226">
        <v>0</v>
      </c>
      <c r="H663" s="227">
        <v>0</v>
      </c>
      <c r="I663" s="226">
        <v>50</v>
      </c>
      <c r="J663" s="226">
        <v>50</v>
      </c>
      <c r="K663" s="226">
        <v>50</v>
      </c>
      <c r="L663" s="226">
        <v>50</v>
      </c>
      <c r="M663" s="227">
        <v>200</v>
      </c>
      <c r="N663" s="226">
        <v>50</v>
      </c>
      <c r="O663" s="226">
        <v>50</v>
      </c>
      <c r="P663" s="226">
        <v>50</v>
      </c>
      <c r="Q663" s="226">
        <v>50</v>
      </c>
      <c r="R663" s="227">
        <v>200</v>
      </c>
      <c r="S663" s="226">
        <v>50</v>
      </c>
      <c r="T663" s="226">
        <v>50</v>
      </c>
      <c r="U663" s="226">
        <v>50</v>
      </c>
      <c r="V663" s="226">
        <v>50</v>
      </c>
      <c r="W663" s="227">
        <v>200</v>
      </c>
    </row>
    <row r="664" spans="1:23" s="224" customFormat="1" ht="12.75" x14ac:dyDescent="0.2">
      <c r="A664" s="225"/>
      <c r="B664" s="225" t="s">
        <v>451</v>
      </c>
      <c r="C664" s="226"/>
      <c r="D664" s="226">
        <v>0</v>
      </c>
      <c r="E664" s="226">
        <v>0</v>
      </c>
      <c r="F664" s="226">
        <v>0</v>
      </c>
      <c r="G664" s="226">
        <v>85</v>
      </c>
      <c r="H664" s="227">
        <v>85</v>
      </c>
      <c r="I664" s="226">
        <v>50</v>
      </c>
      <c r="J664" s="226">
        <v>50</v>
      </c>
      <c r="K664" s="226">
        <v>50</v>
      </c>
      <c r="L664" s="226">
        <v>50</v>
      </c>
      <c r="M664" s="227">
        <v>200</v>
      </c>
      <c r="N664" s="226">
        <v>50</v>
      </c>
      <c r="O664" s="226">
        <v>50</v>
      </c>
      <c r="P664" s="226">
        <v>50</v>
      </c>
      <c r="Q664" s="226">
        <v>50</v>
      </c>
      <c r="R664" s="227">
        <v>200</v>
      </c>
      <c r="S664" s="226">
        <v>50</v>
      </c>
      <c r="T664" s="226">
        <v>50</v>
      </c>
      <c r="U664" s="226">
        <v>50</v>
      </c>
      <c r="V664" s="226">
        <v>50</v>
      </c>
      <c r="W664" s="227">
        <v>200</v>
      </c>
    </row>
    <row r="665" spans="1:23" s="224" customFormat="1" ht="12.75" x14ac:dyDescent="0.2">
      <c r="A665" s="225"/>
      <c r="B665" s="225" t="s">
        <v>928</v>
      </c>
      <c r="C665" s="226"/>
      <c r="D665" s="226">
        <v>0</v>
      </c>
      <c r="E665" s="226">
        <v>0</v>
      </c>
      <c r="F665" s="226">
        <v>0</v>
      </c>
      <c r="G665" s="226">
        <v>0</v>
      </c>
      <c r="H665" s="227">
        <v>0</v>
      </c>
      <c r="I665" s="226">
        <v>115</v>
      </c>
      <c r="J665" s="226">
        <v>50</v>
      </c>
      <c r="K665" s="226">
        <v>50</v>
      </c>
      <c r="L665" s="226">
        <v>50</v>
      </c>
      <c r="M665" s="227">
        <v>265</v>
      </c>
      <c r="N665" s="226">
        <v>50</v>
      </c>
      <c r="O665" s="226">
        <v>50</v>
      </c>
      <c r="P665" s="226">
        <v>50</v>
      </c>
      <c r="Q665" s="226">
        <v>50</v>
      </c>
      <c r="R665" s="227">
        <v>200</v>
      </c>
      <c r="S665" s="226">
        <v>50</v>
      </c>
      <c r="T665" s="226">
        <v>50</v>
      </c>
      <c r="U665" s="226">
        <v>50</v>
      </c>
      <c r="V665" s="226">
        <v>50</v>
      </c>
      <c r="W665" s="227">
        <v>200</v>
      </c>
    </row>
    <row r="666" spans="1:23" s="224" customFormat="1" ht="12.75" x14ac:dyDescent="0.2">
      <c r="A666" s="225"/>
      <c r="B666" s="225" t="s">
        <v>929</v>
      </c>
      <c r="C666" s="226"/>
      <c r="D666" s="226">
        <v>0</v>
      </c>
      <c r="E666" s="226">
        <v>0</v>
      </c>
      <c r="F666" s="226">
        <v>0</v>
      </c>
      <c r="G666" s="226">
        <v>0</v>
      </c>
      <c r="H666" s="227">
        <v>0</v>
      </c>
      <c r="I666" s="226">
        <v>50</v>
      </c>
      <c r="J666" s="226">
        <v>50</v>
      </c>
      <c r="K666" s="226">
        <v>50</v>
      </c>
      <c r="L666" s="226">
        <v>50</v>
      </c>
      <c r="M666" s="227">
        <v>200</v>
      </c>
      <c r="N666" s="226">
        <v>50</v>
      </c>
      <c r="O666" s="226">
        <v>50</v>
      </c>
      <c r="P666" s="226">
        <v>50</v>
      </c>
      <c r="Q666" s="226">
        <v>50</v>
      </c>
      <c r="R666" s="227">
        <v>200</v>
      </c>
      <c r="S666" s="226">
        <v>50</v>
      </c>
      <c r="T666" s="226">
        <v>50</v>
      </c>
      <c r="U666" s="226">
        <v>50</v>
      </c>
      <c r="V666" s="226">
        <v>50</v>
      </c>
      <c r="W666" s="227">
        <v>200</v>
      </c>
    </row>
    <row r="667" spans="1:23" s="224" customFormat="1" ht="12.75" x14ac:dyDescent="0.2">
      <c r="A667" s="225"/>
      <c r="B667" s="225" t="s">
        <v>930</v>
      </c>
      <c r="C667" s="226"/>
      <c r="D667" s="226">
        <v>0</v>
      </c>
      <c r="E667" s="226">
        <v>0</v>
      </c>
      <c r="F667" s="226">
        <v>0</v>
      </c>
      <c r="G667" s="226">
        <v>0</v>
      </c>
      <c r="H667" s="227">
        <v>0</v>
      </c>
      <c r="I667" s="226">
        <v>180</v>
      </c>
      <c r="J667" s="226">
        <v>50</v>
      </c>
      <c r="K667" s="226">
        <v>50</v>
      </c>
      <c r="L667" s="226">
        <v>50</v>
      </c>
      <c r="M667" s="227">
        <v>330</v>
      </c>
      <c r="N667" s="226">
        <v>50</v>
      </c>
      <c r="O667" s="226">
        <v>50</v>
      </c>
      <c r="P667" s="226">
        <v>50</v>
      </c>
      <c r="Q667" s="226">
        <v>50</v>
      </c>
      <c r="R667" s="227">
        <v>200</v>
      </c>
      <c r="S667" s="226">
        <v>50</v>
      </c>
      <c r="T667" s="226">
        <v>50</v>
      </c>
      <c r="U667" s="226">
        <v>50</v>
      </c>
      <c r="V667" s="226">
        <v>50</v>
      </c>
      <c r="W667" s="227">
        <v>200</v>
      </c>
    </row>
    <row r="668" spans="1:23" s="224" customFormat="1" ht="12.75" x14ac:dyDescent="0.2">
      <c r="A668" s="225"/>
      <c r="B668" s="225" t="s">
        <v>931</v>
      </c>
      <c r="C668" s="226"/>
      <c r="D668" s="226">
        <v>0</v>
      </c>
      <c r="E668" s="226">
        <v>0</v>
      </c>
      <c r="F668" s="226">
        <v>0</v>
      </c>
      <c r="G668" s="226">
        <v>0</v>
      </c>
      <c r="H668" s="227">
        <v>0</v>
      </c>
      <c r="I668" s="226">
        <v>50</v>
      </c>
      <c r="J668" s="226">
        <v>50</v>
      </c>
      <c r="K668" s="226">
        <v>50</v>
      </c>
      <c r="L668" s="226">
        <v>50</v>
      </c>
      <c r="M668" s="227">
        <v>200</v>
      </c>
      <c r="N668" s="226">
        <v>50</v>
      </c>
      <c r="O668" s="226">
        <v>50</v>
      </c>
      <c r="P668" s="226">
        <v>50</v>
      </c>
      <c r="Q668" s="226">
        <v>50</v>
      </c>
      <c r="R668" s="227">
        <v>200</v>
      </c>
      <c r="S668" s="226">
        <v>50</v>
      </c>
      <c r="T668" s="226">
        <v>50</v>
      </c>
      <c r="U668" s="226">
        <v>50</v>
      </c>
      <c r="V668" s="226">
        <v>50</v>
      </c>
      <c r="W668" s="227">
        <v>200</v>
      </c>
    </row>
    <row r="669" spans="1:23" s="224" customFormat="1" ht="12.75" x14ac:dyDescent="0.2">
      <c r="A669" s="225"/>
      <c r="B669" s="225" t="s">
        <v>932</v>
      </c>
      <c r="C669" s="226"/>
      <c r="D669" s="226">
        <v>0</v>
      </c>
      <c r="E669" s="226">
        <v>0</v>
      </c>
      <c r="F669" s="226">
        <v>0</v>
      </c>
      <c r="G669" s="226">
        <v>70</v>
      </c>
      <c r="H669" s="227">
        <v>70</v>
      </c>
      <c r="I669" s="226">
        <v>50</v>
      </c>
      <c r="J669" s="226">
        <v>50</v>
      </c>
      <c r="K669" s="226">
        <v>50</v>
      </c>
      <c r="L669" s="226">
        <v>50</v>
      </c>
      <c r="M669" s="227">
        <v>200</v>
      </c>
      <c r="N669" s="226">
        <v>50</v>
      </c>
      <c r="O669" s="226">
        <v>50</v>
      </c>
      <c r="P669" s="226">
        <v>50</v>
      </c>
      <c r="Q669" s="226">
        <v>50</v>
      </c>
      <c r="R669" s="227">
        <v>200</v>
      </c>
      <c r="S669" s="226">
        <v>50</v>
      </c>
      <c r="T669" s="226">
        <v>50</v>
      </c>
      <c r="U669" s="226">
        <v>50</v>
      </c>
      <c r="V669" s="226">
        <v>50</v>
      </c>
      <c r="W669" s="227">
        <v>200</v>
      </c>
    </row>
    <row r="670" spans="1:23" s="224" customFormat="1" ht="12.75" x14ac:dyDescent="0.2">
      <c r="A670" s="225"/>
      <c r="B670" s="225" t="s">
        <v>585</v>
      </c>
      <c r="C670" s="226"/>
      <c r="D670" s="226">
        <v>0</v>
      </c>
      <c r="E670" s="226">
        <v>0</v>
      </c>
      <c r="F670" s="226">
        <v>0</v>
      </c>
      <c r="G670" s="226">
        <v>120</v>
      </c>
      <c r="H670" s="227">
        <v>120</v>
      </c>
      <c r="I670" s="226">
        <v>110</v>
      </c>
      <c r="J670" s="226">
        <v>50</v>
      </c>
      <c r="K670" s="226">
        <v>50</v>
      </c>
      <c r="L670" s="226">
        <v>50</v>
      </c>
      <c r="M670" s="227">
        <v>260</v>
      </c>
      <c r="N670" s="226">
        <v>50</v>
      </c>
      <c r="O670" s="226">
        <v>50</v>
      </c>
      <c r="P670" s="226">
        <v>50</v>
      </c>
      <c r="Q670" s="226">
        <v>50</v>
      </c>
      <c r="R670" s="227">
        <v>200</v>
      </c>
      <c r="S670" s="226">
        <v>50</v>
      </c>
      <c r="T670" s="226">
        <v>50</v>
      </c>
      <c r="U670" s="226">
        <v>50</v>
      </c>
      <c r="V670" s="226">
        <v>50</v>
      </c>
      <c r="W670" s="227">
        <v>200</v>
      </c>
    </row>
    <row r="671" spans="1:23" s="224" customFormat="1" ht="12.75" x14ac:dyDescent="0.2">
      <c r="A671" s="225"/>
      <c r="B671" s="225" t="s">
        <v>933</v>
      </c>
      <c r="C671" s="226"/>
      <c r="D671" s="226">
        <v>0</v>
      </c>
      <c r="E671" s="226">
        <v>0</v>
      </c>
      <c r="F671" s="226">
        <v>0</v>
      </c>
      <c r="G671" s="226">
        <v>0</v>
      </c>
      <c r="H671" s="227">
        <v>0</v>
      </c>
      <c r="I671" s="226">
        <v>205</v>
      </c>
      <c r="J671" s="226">
        <v>50</v>
      </c>
      <c r="K671" s="226">
        <v>50</v>
      </c>
      <c r="L671" s="226">
        <v>50</v>
      </c>
      <c r="M671" s="227">
        <v>355</v>
      </c>
      <c r="N671" s="226">
        <v>50</v>
      </c>
      <c r="O671" s="226">
        <v>50</v>
      </c>
      <c r="P671" s="226">
        <v>50</v>
      </c>
      <c r="Q671" s="226">
        <v>50</v>
      </c>
      <c r="R671" s="227">
        <v>200</v>
      </c>
      <c r="S671" s="226">
        <v>50</v>
      </c>
      <c r="T671" s="226">
        <v>50</v>
      </c>
      <c r="U671" s="226">
        <v>50</v>
      </c>
      <c r="V671" s="226">
        <v>50</v>
      </c>
      <c r="W671" s="227">
        <v>200</v>
      </c>
    </row>
    <row r="672" spans="1:23" s="224" customFormat="1" ht="12.75" x14ac:dyDescent="0.2">
      <c r="A672" s="225"/>
      <c r="B672" s="225" t="s">
        <v>454</v>
      </c>
      <c r="C672" s="226"/>
      <c r="D672" s="226">
        <v>0</v>
      </c>
      <c r="E672" s="226">
        <v>0</v>
      </c>
      <c r="F672" s="226">
        <v>0</v>
      </c>
      <c r="G672" s="226">
        <v>0</v>
      </c>
      <c r="H672" s="227">
        <v>0</v>
      </c>
      <c r="I672" s="226">
        <v>50</v>
      </c>
      <c r="J672" s="226">
        <v>205</v>
      </c>
      <c r="K672" s="226">
        <v>50</v>
      </c>
      <c r="L672" s="226">
        <v>50</v>
      </c>
      <c r="M672" s="227">
        <v>355</v>
      </c>
      <c r="N672" s="226">
        <v>50</v>
      </c>
      <c r="O672" s="226">
        <v>50</v>
      </c>
      <c r="P672" s="226">
        <v>50</v>
      </c>
      <c r="Q672" s="226">
        <v>50</v>
      </c>
      <c r="R672" s="227">
        <v>200</v>
      </c>
      <c r="S672" s="226">
        <v>50</v>
      </c>
      <c r="T672" s="226">
        <v>50</v>
      </c>
      <c r="U672" s="226">
        <v>50</v>
      </c>
      <c r="V672" s="226">
        <v>50</v>
      </c>
      <c r="W672" s="227">
        <v>200</v>
      </c>
    </row>
    <row r="673" spans="1:24" s="224" customFormat="1" ht="12.75" x14ac:dyDescent="0.2">
      <c r="A673" s="225"/>
      <c r="B673" s="225" t="s">
        <v>443</v>
      </c>
      <c r="C673" s="226"/>
      <c r="D673" s="226">
        <v>0</v>
      </c>
      <c r="E673" s="226">
        <v>0</v>
      </c>
      <c r="F673" s="226">
        <v>0</v>
      </c>
      <c r="G673" s="226">
        <v>0</v>
      </c>
      <c r="H673" s="227">
        <v>0</v>
      </c>
      <c r="I673" s="226">
        <v>50</v>
      </c>
      <c r="J673" s="226">
        <v>50</v>
      </c>
      <c r="K673" s="226">
        <v>50</v>
      </c>
      <c r="L673" s="226">
        <v>50</v>
      </c>
      <c r="M673" s="227">
        <v>200</v>
      </c>
      <c r="N673" s="226">
        <v>50</v>
      </c>
      <c r="O673" s="226">
        <v>50</v>
      </c>
      <c r="P673" s="226">
        <v>50</v>
      </c>
      <c r="Q673" s="226">
        <v>50</v>
      </c>
      <c r="R673" s="227">
        <v>200</v>
      </c>
      <c r="S673" s="226">
        <v>50</v>
      </c>
      <c r="T673" s="226">
        <v>50</v>
      </c>
      <c r="U673" s="226">
        <v>50</v>
      </c>
      <c r="V673" s="226">
        <v>50</v>
      </c>
      <c r="W673" s="227">
        <v>200</v>
      </c>
    </row>
    <row r="674" spans="1:24" s="224" customFormat="1" ht="12.75" x14ac:dyDescent="0.2">
      <c r="A674" s="225"/>
      <c r="B674" s="225" t="s">
        <v>934</v>
      </c>
      <c r="C674" s="226"/>
      <c r="D674" s="226">
        <v>0</v>
      </c>
      <c r="E674" s="226">
        <v>0</v>
      </c>
      <c r="F674" s="226">
        <v>0</v>
      </c>
      <c r="G674" s="226">
        <v>0</v>
      </c>
      <c r="H674" s="227">
        <v>0</v>
      </c>
      <c r="I674" s="226">
        <v>50</v>
      </c>
      <c r="J674" s="226">
        <v>50</v>
      </c>
      <c r="K674" s="226">
        <v>50</v>
      </c>
      <c r="L674" s="226">
        <v>50</v>
      </c>
      <c r="M674" s="227">
        <v>200</v>
      </c>
      <c r="N674" s="226">
        <v>50</v>
      </c>
      <c r="O674" s="226">
        <v>50</v>
      </c>
      <c r="P674" s="226">
        <v>50</v>
      </c>
      <c r="Q674" s="226">
        <v>50</v>
      </c>
      <c r="R674" s="227">
        <v>200</v>
      </c>
      <c r="S674" s="226">
        <v>50</v>
      </c>
      <c r="T674" s="226">
        <v>50</v>
      </c>
      <c r="U674" s="226">
        <v>50</v>
      </c>
      <c r="V674" s="226">
        <v>50</v>
      </c>
      <c r="W674" s="227">
        <v>200</v>
      </c>
    </row>
    <row r="675" spans="1:24" s="224" customFormat="1" ht="12.75" x14ac:dyDescent="0.2">
      <c r="A675" s="225"/>
      <c r="B675" s="225" t="s">
        <v>726</v>
      </c>
      <c r="C675" s="226"/>
      <c r="D675" s="226">
        <v>829.46060499999999</v>
      </c>
      <c r="E675" s="226">
        <v>0</v>
      </c>
      <c r="F675" s="226">
        <v>0</v>
      </c>
      <c r="G675" s="226">
        <v>30</v>
      </c>
      <c r="H675" s="227">
        <v>859.46060499999999</v>
      </c>
      <c r="I675" s="226">
        <v>175</v>
      </c>
      <c r="J675" s="226">
        <v>50</v>
      </c>
      <c r="K675" s="226">
        <v>50</v>
      </c>
      <c r="L675" s="226">
        <v>50</v>
      </c>
      <c r="M675" s="227">
        <v>325</v>
      </c>
      <c r="N675" s="226">
        <v>50</v>
      </c>
      <c r="O675" s="226">
        <v>50</v>
      </c>
      <c r="P675" s="226">
        <v>50</v>
      </c>
      <c r="Q675" s="226">
        <v>50</v>
      </c>
      <c r="R675" s="227">
        <v>200</v>
      </c>
      <c r="S675" s="226">
        <v>50</v>
      </c>
      <c r="T675" s="226">
        <v>50</v>
      </c>
      <c r="U675" s="226">
        <v>50</v>
      </c>
      <c r="V675" s="226">
        <v>50</v>
      </c>
      <c r="W675" s="227">
        <v>200</v>
      </c>
    </row>
    <row r="676" spans="1:24" s="224" customFormat="1" ht="12.75" x14ac:dyDescent="0.2">
      <c r="A676" s="225"/>
      <c r="B676" s="225" t="s">
        <v>935</v>
      </c>
      <c r="C676" s="226"/>
      <c r="D676" s="226">
        <v>0</v>
      </c>
      <c r="E676" s="226">
        <v>0</v>
      </c>
      <c r="F676" s="226">
        <v>0</v>
      </c>
      <c r="G676" s="226">
        <v>0</v>
      </c>
      <c r="H676" s="227">
        <v>0</v>
      </c>
      <c r="I676" s="226">
        <v>205</v>
      </c>
      <c r="J676" s="226">
        <v>50</v>
      </c>
      <c r="K676" s="226">
        <v>50</v>
      </c>
      <c r="L676" s="226">
        <v>50</v>
      </c>
      <c r="M676" s="227">
        <v>355</v>
      </c>
      <c r="N676" s="226">
        <v>50</v>
      </c>
      <c r="O676" s="226">
        <v>50</v>
      </c>
      <c r="P676" s="226">
        <v>50</v>
      </c>
      <c r="Q676" s="226">
        <v>50</v>
      </c>
      <c r="R676" s="227">
        <v>200</v>
      </c>
      <c r="S676" s="226">
        <v>50</v>
      </c>
      <c r="T676" s="226">
        <v>50</v>
      </c>
      <c r="U676" s="226">
        <v>50</v>
      </c>
      <c r="V676" s="226">
        <v>50</v>
      </c>
      <c r="W676" s="227">
        <v>200</v>
      </c>
    </row>
    <row r="677" spans="1:24" s="224" customFormat="1" ht="12.75" x14ac:dyDescent="0.2">
      <c r="A677" s="225"/>
      <c r="B677" s="225" t="s">
        <v>936</v>
      </c>
      <c r="C677" s="226"/>
      <c r="D677" s="226">
        <v>0</v>
      </c>
      <c r="E677" s="226">
        <v>0</v>
      </c>
      <c r="F677" s="226">
        <v>0</v>
      </c>
      <c r="G677" s="226">
        <v>0</v>
      </c>
      <c r="H677" s="227">
        <v>0</v>
      </c>
      <c r="I677" s="226">
        <v>50</v>
      </c>
      <c r="J677" s="226">
        <v>50</v>
      </c>
      <c r="K677" s="226">
        <v>50</v>
      </c>
      <c r="L677" s="226">
        <v>50</v>
      </c>
      <c r="M677" s="227">
        <v>200</v>
      </c>
      <c r="N677" s="226">
        <v>50</v>
      </c>
      <c r="O677" s="226">
        <v>50</v>
      </c>
      <c r="P677" s="226">
        <v>50</v>
      </c>
      <c r="Q677" s="226">
        <v>50</v>
      </c>
      <c r="R677" s="227">
        <v>200</v>
      </c>
      <c r="S677" s="226">
        <v>50</v>
      </c>
      <c r="T677" s="226">
        <v>50</v>
      </c>
      <c r="U677" s="226">
        <v>50</v>
      </c>
      <c r="V677" s="226">
        <v>50</v>
      </c>
      <c r="W677" s="227">
        <v>200</v>
      </c>
    </row>
    <row r="678" spans="1:24" s="224" customFormat="1" ht="12.75" x14ac:dyDescent="0.2">
      <c r="A678" s="225"/>
      <c r="B678" s="225" t="s">
        <v>937</v>
      </c>
      <c r="C678" s="226"/>
      <c r="D678" s="226">
        <v>0</v>
      </c>
      <c r="E678" s="226">
        <v>0</v>
      </c>
      <c r="F678" s="226">
        <v>0</v>
      </c>
      <c r="G678" s="226">
        <v>80</v>
      </c>
      <c r="H678" s="227">
        <v>80</v>
      </c>
      <c r="I678" s="226">
        <v>110</v>
      </c>
      <c r="J678" s="226">
        <v>50</v>
      </c>
      <c r="K678" s="226">
        <v>50</v>
      </c>
      <c r="L678" s="226">
        <v>50</v>
      </c>
      <c r="M678" s="227">
        <v>260</v>
      </c>
      <c r="N678" s="226">
        <v>50</v>
      </c>
      <c r="O678" s="226">
        <v>50</v>
      </c>
      <c r="P678" s="226">
        <v>50</v>
      </c>
      <c r="Q678" s="226">
        <v>50</v>
      </c>
      <c r="R678" s="227">
        <v>200</v>
      </c>
      <c r="S678" s="226">
        <v>50</v>
      </c>
      <c r="T678" s="226">
        <v>50</v>
      </c>
      <c r="U678" s="226">
        <v>50</v>
      </c>
      <c r="V678" s="226">
        <v>50</v>
      </c>
      <c r="W678" s="227">
        <v>200</v>
      </c>
    </row>
    <row r="679" spans="1:24" s="224" customFormat="1" ht="12.75" x14ac:dyDescent="0.2">
      <c r="A679" s="225"/>
      <c r="B679" s="225" t="s">
        <v>469</v>
      </c>
      <c r="C679" s="226"/>
      <c r="D679" s="226">
        <v>0</v>
      </c>
      <c r="E679" s="226">
        <v>0</v>
      </c>
      <c r="F679" s="226">
        <v>0</v>
      </c>
      <c r="G679" s="226">
        <v>0</v>
      </c>
      <c r="H679" s="227">
        <v>0</v>
      </c>
      <c r="I679" s="226">
        <v>50</v>
      </c>
      <c r="J679" s="226">
        <v>50</v>
      </c>
      <c r="K679" s="226">
        <v>50</v>
      </c>
      <c r="L679" s="226">
        <v>50</v>
      </c>
      <c r="M679" s="227">
        <v>200</v>
      </c>
      <c r="N679" s="226">
        <v>50</v>
      </c>
      <c r="O679" s="226">
        <v>50</v>
      </c>
      <c r="P679" s="226">
        <v>50</v>
      </c>
      <c r="Q679" s="226">
        <v>50</v>
      </c>
      <c r="R679" s="227">
        <v>200</v>
      </c>
      <c r="S679" s="226">
        <v>50</v>
      </c>
      <c r="T679" s="226">
        <v>50</v>
      </c>
      <c r="U679" s="226">
        <v>50</v>
      </c>
      <c r="V679" s="226">
        <v>50</v>
      </c>
      <c r="W679" s="227">
        <v>200</v>
      </c>
    </row>
    <row r="680" spans="1:24" s="224" customFormat="1" ht="12.75" x14ac:dyDescent="0.2">
      <c r="A680" s="225"/>
      <c r="B680" s="225" t="s">
        <v>938</v>
      </c>
      <c r="C680" s="226"/>
      <c r="D680" s="226">
        <v>0</v>
      </c>
      <c r="E680" s="226">
        <v>0</v>
      </c>
      <c r="F680" s="226">
        <v>0</v>
      </c>
      <c r="G680" s="226">
        <v>0</v>
      </c>
      <c r="H680" s="227">
        <v>0</v>
      </c>
      <c r="I680" s="226">
        <v>90</v>
      </c>
      <c r="J680" s="226">
        <v>205</v>
      </c>
      <c r="K680" s="226">
        <v>50</v>
      </c>
      <c r="L680" s="226">
        <v>50</v>
      </c>
      <c r="M680" s="227">
        <v>395</v>
      </c>
      <c r="N680" s="226">
        <v>50</v>
      </c>
      <c r="O680" s="226">
        <v>50</v>
      </c>
      <c r="P680" s="226">
        <v>50</v>
      </c>
      <c r="Q680" s="226">
        <v>50</v>
      </c>
      <c r="R680" s="227">
        <v>200</v>
      </c>
      <c r="S680" s="226">
        <v>50</v>
      </c>
      <c r="T680" s="226">
        <v>50</v>
      </c>
      <c r="U680" s="226">
        <v>50</v>
      </c>
      <c r="V680" s="226">
        <v>50</v>
      </c>
      <c r="W680" s="227">
        <v>200</v>
      </c>
    </row>
    <row r="681" spans="1:24" s="224" customFormat="1" ht="12.75" x14ac:dyDescent="0.2">
      <c r="A681" s="225"/>
      <c r="B681" s="225" t="s">
        <v>939</v>
      </c>
      <c r="C681" s="226"/>
      <c r="D681" s="226">
        <v>0</v>
      </c>
      <c r="E681" s="226">
        <v>0</v>
      </c>
      <c r="F681" s="226">
        <v>0</v>
      </c>
      <c r="G681" s="226">
        <v>0</v>
      </c>
      <c r="H681" s="227">
        <v>0</v>
      </c>
      <c r="I681" s="226">
        <v>50</v>
      </c>
      <c r="J681" s="226">
        <v>50</v>
      </c>
      <c r="K681" s="226">
        <v>50</v>
      </c>
      <c r="L681" s="226">
        <v>50</v>
      </c>
      <c r="M681" s="227">
        <v>200</v>
      </c>
      <c r="N681" s="226">
        <v>50</v>
      </c>
      <c r="O681" s="226">
        <v>50</v>
      </c>
      <c r="P681" s="226">
        <v>50</v>
      </c>
      <c r="Q681" s="226">
        <v>50</v>
      </c>
      <c r="R681" s="227">
        <v>200</v>
      </c>
      <c r="S681" s="226">
        <v>50</v>
      </c>
      <c r="T681" s="226">
        <v>50</v>
      </c>
      <c r="U681" s="226">
        <v>50</v>
      </c>
      <c r="V681" s="226">
        <v>50</v>
      </c>
      <c r="W681" s="227">
        <v>200</v>
      </c>
    </row>
    <row r="682" spans="1:24" s="224" customFormat="1" ht="12.75" x14ac:dyDescent="0.2">
      <c r="A682" s="225"/>
      <c r="B682" s="225" t="s">
        <v>729</v>
      </c>
      <c r="C682" s="226"/>
      <c r="D682" s="226">
        <v>0</v>
      </c>
      <c r="E682" s="226">
        <v>0</v>
      </c>
      <c r="F682" s="226">
        <v>0</v>
      </c>
      <c r="G682" s="226">
        <v>0</v>
      </c>
      <c r="H682" s="227">
        <v>0</v>
      </c>
      <c r="I682" s="226">
        <v>50</v>
      </c>
      <c r="J682" s="226">
        <v>50</v>
      </c>
      <c r="K682" s="226">
        <v>50</v>
      </c>
      <c r="L682" s="226">
        <v>50</v>
      </c>
      <c r="M682" s="227">
        <v>200</v>
      </c>
      <c r="N682" s="226">
        <v>50</v>
      </c>
      <c r="O682" s="226">
        <v>50</v>
      </c>
      <c r="P682" s="226">
        <v>50</v>
      </c>
      <c r="Q682" s="226">
        <v>50</v>
      </c>
      <c r="R682" s="227">
        <v>200</v>
      </c>
      <c r="S682" s="226">
        <v>50</v>
      </c>
      <c r="T682" s="226">
        <v>50</v>
      </c>
      <c r="U682" s="226">
        <v>50</v>
      </c>
      <c r="V682" s="226">
        <v>50</v>
      </c>
      <c r="W682" s="227">
        <v>200</v>
      </c>
    </row>
    <row r="683" spans="1:24" s="224" customFormat="1" ht="12.75" x14ac:dyDescent="0.2">
      <c r="A683" s="225"/>
      <c r="B683" s="225" t="s">
        <v>940</v>
      </c>
      <c r="C683" s="226"/>
      <c r="D683" s="226">
        <v>0</v>
      </c>
      <c r="E683" s="226">
        <v>0</v>
      </c>
      <c r="F683" s="226">
        <v>0</v>
      </c>
      <c r="G683" s="226">
        <v>0</v>
      </c>
      <c r="H683" s="227">
        <v>0</v>
      </c>
      <c r="I683" s="226">
        <v>205</v>
      </c>
      <c r="J683" s="226">
        <v>50</v>
      </c>
      <c r="K683" s="226">
        <v>50</v>
      </c>
      <c r="L683" s="226">
        <v>50</v>
      </c>
      <c r="M683" s="227">
        <v>355</v>
      </c>
      <c r="N683" s="226">
        <v>50</v>
      </c>
      <c r="O683" s="226">
        <v>50</v>
      </c>
      <c r="P683" s="226">
        <v>50</v>
      </c>
      <c r="Q683" s="226">
        <v>50</v>
      </c>
      <c r="R683" s="227">
        <v>200</v>
      </c>
      <c r="S683" s="226">
        <v>50</v>
      </c>
      <c r="T683" s="226">
        <v>50</v>
      </c>
      <c r="U683" s="226">
        <v>50</v>
      </c>
      <c r="V683" s="226">
        <v>50</v>
      </c>
      <c r="W683" s="227">
        <v>200</v>
      </c>
    </row>
    <row r="684" spans="1:24" s="224" customFormat="1" ht="12.75" x14ac:dyDescent="0.2">
      <c r="A684" s="225"/>
      <c r="B684" s="225" t="s">
        <v>941</v>
      </c>
      <c r="C684" s="226"/>
      <c r="D684" s="226">
        <v>0</v>
      </c>
      <c r="E684" s="226">
        <v>0</v>
      </c>
      <c r="F684" s="226">
        <v>0</v>
      </c>
      <c r="G684" s="226">
        <v>0</v>
      </c>
      <c r="H684" s="227">
        <v>0</v>
      </c>
      <c r="I684" s="226">
        <v>115</v>
      </c>
      <c r="J684" s="226">
        <v>50</v>
      </c>
      <c r="K684" s="226">
        <v>50</v>
      </c>
      <c r="L684" s="226">
        <v>50</v>
      </c>
      <c r="M684" s="227">
        <v>265</v>
      </c>
      <c r="N684" s="226">
        <v>50</v>
      </c>
      <c r="O684" s="226">
        <v>50</v>
      </c>
      <c r="P684" s="226">
        <v>50</v>
      </c>
      <c r="Q684" s="226">
        <v>50</v>
      </c>
      <c r="R684" s="227">
        <v>200</v>
      </c>
      <c r="S684" s="226">
        <v>50</v>
      </c>
      <c r="T684" s="226">
        <v>50</v>
      </c>
      <c r="U684" s="226">
        <v>50</v>
      </c>
      <c r="V684" s="226">
        <v>50</v>
      </c>
      <c r="W684" s="227">
        <v>200</v>
      </c>
    </row>
    <row r="685" spans="1:24" s="224" customFormat="1" ht="12.75" x14ac:dyDescent="0.2">
      <c r="A685" s="230"/>
      <c r="B685" s="230" t="s">
        <v>942</v>
      </c>
      <c r="C685" s="231"/>
      <c r="D685" s="231">
        <v>0</v>
      </c>
      <c r="E685" s="231">
        <v>0</v>
      </c>
      <c r="F685" s="231">
        <v>0</v>
      </c>
      <c r="G685" s="231">
        <v>0</v>
      </c>
      <c r="H685" s="227">
        <v>0</v>
      </c>
      <c r="I685" s="231">
        <v>50</v>
      </c>
      <c r="J685" s="231">
        <v>50</v>
      </c>
      <c r="K685" s="231">
        <v>50</v>
      </c>
      <c r="L685" s="231">
        <v>50</v>
      </c>
      <c r="M685" s="227">
        <v>200</v>
      </c>
      <c r="N685" s="231">
        <v>50</v>
      </c>
      <c r="O685" s="231">
        <v>50</v>
      </c>
      <c r="P685" s="231">
        <v>50</v>
      </c>
      <c r="Q685" s="231">
        <v>50</v>
      </c>
      <c r="R685" s="227">
        <v>200</v>
      </c>
      <c r="S685" s="231">
        <v>50</v>
      </c>
      <c r="T685" s="231">
        <v>50</v>
      </c>
      <c r="U685" s="231">
        <v>50</v>
      </c>
      <c r="V685" s="231">
        <v>50</v>
      </c>
      <c r="W685" s="227">
        <v>200</v>
      </c>
    </row>
    <row r="686" spans="1:24" s="187" customFormat="1" ht="24.6" customHeight="1" x14ac:dyDescent="0.2">
      <c r="A686" s="303" t="s">
        <v>943</v>
      </c>
      <c r="B686" s="304"/>
      <c r="C686" s="301"/>
      <c r="D686" s="301">
        <f>SUM(D687:D692)</f>
        <v>30000</v>
      </c>
      <c r="E686" s="301">
        <f>SUM(E687:E692)</f>
        <v>0</v>
      </c>
      <c r="F686" s="301">
        <f>SUM(F687:F692)</f>
        <v>25000</v>
      </c>
      <c r="G686" s="301">
        <f>SUM(G687:G692)</f>
        <v>21000</v>
      </c>
      <c r="H686" s="304">
        <f>SUM(D686:G686)</f>
        <v>76000</v>
      </c>
      <c r="I686" s="301">
        <f>SUM(I687:I692)</f>
        <v>30000</v>
      </c>
      <c r="J686" s="301">
        <f>SUM(J687:J692)</f>
        <v>30000</v>
      </c>
      <c r="K686" s="301">
        <f>SUM(K687:K692)</f>
        <v>30000</v>
      </c>
      <c r="L686" s="301">
        <f>SUM(L687:L692)</f>
        <v>30000</v>
      </c>
      <c r="M686" s="304">
        <f>SUM(I686:L686)</f>
        <v>120000</v>
      </c>
      <c r="N686" s="301">
        <f>SUM(N687:N692)</f>
        <v>30000</v>
      </c>
      <c r="O686" s="301">
        <f>SUM(O687:O692)</f>
        <v>30000</v>
      </c>
      <c r="P686" s="301">
        <f>SUM(P687:P692)</f>
        <v>30000</v>
      </c>
      <c r="Q686" s="301">
        <f>SUM(Q687:Q692)</f>
        <v>30000</v>
      </c>
      <c r="R686" s="304">
        <f>SUM(N686:Q686)</f>
        <v>120000</v>
      </c>
      <c r="S686" s="301">
        <f>SUM(S687:S692)</f>
        <v>30000</v>
      </c>
      <c r="T686" s="301">
        <f>SUM(T687:T692)</f>
        <v>30000</v>
      </c>
      <c r="U686" s="301">
        <f>SUM(U687:U692)</f>
        <v>30000</v>
      </c>
      <c r="V686" s="301">
        <f>SUM(V687:V692)</f>
        <v>30000</v>
      </c>
      <c r="W686" s="304">
        <f>SUM(S686:V686)</f>
        <v>120000</v>
      </c>
      <c r="X686" s="186">
        <v>42976</v>
      </c>
    </row>
    <row r="687" spans="1:24" s="224" customFormat="1" ht="12.75" x14ac:dyDescent="0.2">
      <c r="A687" s="233"/>
      <c r="B687" s="221" t="s">
        <v>944</v>
      </c>
      <c r="C687" s="222"/>
      <c r="D687" s="222"/>
      <c r="E687" s="222">
        <v>0</v>
      </c>
      <c r="F687" s="222">
        <v>0</v>
      </c>
      <c r="G687" s="222">
        <v>0</v>
      </c>
      <c r="H687" s="223">
        <v>0</v>
      </c>
      <c r="I687" s="222">
        <v>5000</v>
      </c>
      <c r="J687" s="222">
        <v>5000</v>
      </c>
      <c r="K687" s="222">
        <v>5000</v>
      </c>
      <c r="L687" s="222">
        <v>5000</v>
      </c>
      <c r="M687" s="223">
        <v>20000</v>
      </c>
      <c r="N687" s="222">
        <v>5000</v>
      </c>
      <c r="O687" s="222">
        <v>5000</v>
      </c>
      <c r="P687" s="222">
        <v>5000</v>
      </c>
      <c r="Q687" s="222">
        <v>5000</v>
      </c>
      <c r="R687" s="223">
        <v>20000</v>
      </c>
      <c r="S687" s="222">
        <v>5000</v>
      </c>
      <c r="T687" s="222">
        <v>5000</v>
      </c>
      <c r="U687" s="222">
        <v>5000</v>
      </c>
      <c r="V687" s="222">
        <v>5000</v>
      </c>
      <c r="W687" s="223">
        <v>20000</v>
      </c>
    </row>
    <row r="688" spans="1:24" s="224" customFormat="1" ht="12.75" x14ac:dyDescent="0.2">
      <c r="A688" s="228"/>
      <c r="B688" s="225" t="s">
        <v>945</v>
      </c>
      <c r="C688" s="226"/>
      <c r="D688" s="226">
        <v>12000</v>
      </c>
      <c r="E688" s="226">
        <v>0</v>
      </c>
      <c r="F688" s="226">
        <v>9882.5895700000001</v>
      </c>
      <c r="G688" s="226">
        <v>5600</v>
      </c>
      <c r="H688" s="227">
        <v>27482.58957</v>
      </c>
      <c r="I688" s="226">
        <v>5000</v>
      </c>
      <c r="J688" s="226">
        <v>5000</v>
      </c>
      <c r="K688" s="226">
        <v>5000</v>
      </c>
      <c r="L688" s="226">
        <v>5000</v>
      </c>
      <c r="M688" s="227">
        <v>20000</v>
      </c>
      <c r="N688" s="226">
        <v>5000</v>
      </c>
      <c r="O688" s="226">
        <v>5000</v>
      </c>
      <c r="P688" s="226">
        <v>5000</v>
      </c>
      <c r="Q688" s="226">
        <v>5000</v>
      </c>
      <c r="R688" s="227">
        <v>20000</v>
      </c>
      <c r="S688" s="226">
        <v>5000</v>
      </c>
      <c r="T688" s="226">
        <v>5000</v>
      </c>
      <c r="U688" s="226">
        <v>5000</v>
      </c>
      <c r="V688" s="226">
        <v>5000</v>
      </c>
      <c r="W688" s="227">
        <v>20000</v>
      </c>
    </row>
    <row r="689" spans="1:24" s="224" customFormat="1" ht="12.75" x14ac:dyDescent="0.2">
      <c r="A689" s="228"/>
      <c r="B689" s="225" t="s">
        <v>946</v>
      </c>
      <c r="C689" s="226"/>
      <c r="D689" s="226">
        <v>12000</v>
      </c>
      <c r="E689" s="226">
        <v>0</v>
      </c>
      <c r="F689" s="226">
        <v>0</v>
      </c>
      <c r="G689" s="226">
        <v>14000</v>
      </c>
      <c r="H689" s="227">
        <v>26000</v>
      </c>
      <c r="I689" s="226">
        <v>5000</v>
      </c>
      <c r="J689" s="226">
        <v>5000</v>
      </c>
      <c r="K689" s="226">
        <v>5000</v>
      </c>
      <c r="L689" s="226">
        <v>5000</v>
      </c>
      <c r="M689" s="227">
        <v>20000</v>
      </c>
      <c r="N689" s="226">
        <v>5000</v>
      </c>
      <c r="O689" s="226">
        <v>5000</v>
      </c>
      <c r="P689" s="226">
        <v>5000</v>
      </c>
      <c r="Q689" s="226">
        <v>5000</v>
      </c>
      <c r="R689" s="227">
        <v>20000</v>
      </c>
      <c r="S689" s="226">
        <v>5000</v>
      </c>
      <c r="T689" s="226">
        <v>5000</v>
      </c>
      <c r="U689" s="226">
        <v>5000</v>
      </c>
      <c r="V689" s="226">
        <v>5000</v>
      </c>
      <c r="W689" s="227">
        <v>20000</v>
      </c>
    </row>
    <row r="690" spans="1:24" s="224" customFormat="1" ht="12.75" x14ac:dyDescent="0.2">
      <c r="A690" s="228"/>
      <c r="B690" s="225" t="s">
        <v>947</v>
      </c>
      <c r="C690" s="226"/>
      <c r="D690" s="226"/>
      <c r="E690" s="226">
        <v>0</v>
      </c>
      <c r="F690" s="226">
        <v>12829.764945999999</v>
      </c>
      <c r="G690" s="226">
        <v>0</v>
      </c>
      <c r="H690" s="227">
        <v>12829.764945999999</v>
      </c>
      <c r="I690" s="226">
        <v>5000</v>
      </c>
      <c r="J690" s="226">
        <v>5000</v>
      </c>
      <c r="K690" s="226">
        <v>5000</v>
      </c>
      <c r="L690" s="226">
        <v>5000</v>
      </c>
      <c r="M690" s="227">
        <v>20000</v>
      </c>
      <c r="N690" s="226">
        <v>5000</v>
      </c>
      <c r="O690" s="226">
        <v>5000</v>
      </c>
      <c r="P690" s="226">
        <v>5000</v>
      </c>
      <c r="Q690" s="226">
        <v>5000</v>
      </c>
      <c r="R690" s="227">
        <v>20000</v>
      </c>
      <c r="S690" s="226">
        <v>5000</v>
      </c>
      <c r="T690" s="226">
        <v>5000</v>
      </c>
      <c r="U690" s="226">
        <v>5000</v>
      </c>
      <c r="V690" s="226">
        <v>5000</v>
      </c>
      <c r="W690" s="227">
        <v>20000</v>
      </c>
    </row>
    <row r="691" spans="1:24" s="224" customFormat="1" ht="12.75" x14ac:dyDescent="0.2">
      <c r="A691" s="228"/>
      <c r="B691" s="225" t="s">
        <v>948</v>
      </c>
      <c r="C691" s="226"/>
      <c r="D691" s="226">
        <v>6000</v>
      </c>
      <c r="E691" s="226">
        <v>0</v>
      </c>
      <c r="F691" s="226">
        <v>0</v>
      </c>
      <c r="G691" s="226">
        <v>0</v>
      </c>
      <c r="H691" s="227">
        <v>6000</v>
      </c>
      <c r="I691" s="226">
        <v>5000</v>
      </c>
      <c r="J691" s="226">
        <v>5000</v>
      </c>
      <c r="K691" s="226">
        <v>5000</v>
      </c>
      <c r="L691" s="226">
        <v>5000</v>
      </c>
      <c r="M691" s="227">
        <v>20000</v>
      </c>
      <c r="N691" s="226">
        <v>5000</v>
      </c>
      <c r="O691" s="226">
        <v>5000</v>
      </c>
      <c r="P691" s="226">
        <v>5000</v>
      </c>
      <c r="Q691" s="226">
        <v>5000</v>
      </c>
      <c r="R691" s="227">
        <v>20000</v>
      </c>
      <c r="S691" s="226">
        <v>5000</v>
      </c>
      <c r="T691" s="226">
        <v>5000</v>
      </c>
      <c r="U691" s="226">
        <v>5000</v>
      </c>
      <c r="V691" s="226">
        <v>5000</v>
      </c>
      <c r="W691" s="227">
        <v>20000</v>
      </c>
    </row>
    <row r="692" spans="1:24" s="224" customFormat="1" ht="12.75" x14ac:dyDescent="0.2">
      <c r="A692" s="229"/>
      <c r="B692" s="230" t="s">
        <v>949</v>
      </c>
      <c r="C692" s="231"/>
      <c r="D692" s="231"/>
      <c r="E692" s="231">
        <v>0</v>
      </c>
      <c r="F692" s="231">
        <v>2287.6454840000001</v>
      </c>
      <c r="G692" s="231">
        <v>1400</v>
      </c>
      <c r="H692" s="232">
        <v>3687.6454840000001</v>
      </c>
      <c r="I692" s="231">
        <v>5000</v>
      </c>
      <c r="J692" s="231">
        <v>5000</v>
      </c>
      <c r="K692" s="231">
        <v>5000</v>
      </c>
      <c r="L692" s="231">
        <v>5000</v>
      </c>
      <c r="M692" s="232">
        <v>20000</v>
      </c>
      <c r="N692" s="231">
        <v>5000</v>
      </c>
      <c r="O692" s="231">
        <v>5000</v>
      </c>
      <c r="P692" s="231">
        <v>5000</v>
      </c>
      <c r="Q692" s="231">
        <v>5000</v>
      </c>
      <c r="R692" s="232">
        <v>20000</v>
      </c>
      <c r="S692" s="231">
        <v>5000</v>
      </c>
      <c r="T692" s="231">
        <v>5000</v>
      </c>
      <c r="U692" s="231">
        <v>5000</v>
      </c>
      <c r="V692" s="231">
        <v>5000</v>
      </c>
      <c r="W692" s="232">
        <v>20000</v>
      </c>
    </row>
    <row r="693" spans="1:24" s="187" customFormat="1" ht="32.25" customHeight="1" x14ac:dyDescent="0.2">
      <c r="A693" s="183" t="s">
        <v>950</v>
      </c>
      <c r="B693" s="184"/>
      <c r="C693" s="185">
        <f>SUM(C694:C739)</f>
        <v>0</v>
      </c>
      <c r="D693" s="185">
        <f>SUM(D694:D739)</f>
        <v>0</v>
      </c>
      <c r="E693" s="185">
        <f>SUM(E694:E739)</f>
        <v>0</v>
      </c>
      <c r="F693" s="185">
        <f>SUM(F694:F739)</f>
        <v>4605</v>
      </c>
      <c r="G693" s="185">
        <f>SUM(G694:G739)</f>
        <v>2796</v>
      </c>
      <c r="H693" s="184">
        <f>SUM(D693:G693)</f>
        <v>7401</v>
      </c>
      <c r="I693" s="185">
        <f>SUM(I694:I739)</f>
        <v>4530</v>
      </c>
      <c r="J693" s="185">
        <f>SUM(J694:J739)</f>
        <v>3658</v>
      </c>
      <c r="K693" s="185">
        <f>SUM(K694:K739)</f>
        <v>4202</v>
      </c>
      <c r="L693" s="185">
        <f>SUM(L694:L739)</f>
        <v>9954.0600000000013</v>
      </c>
      <c r="M693" s="184">
        <f>SUM(I693:L693)</f>
        <v>22344.06</v>
      </c>
      <c r="N693" s="185">
        <f>SUM(N694:N739)</f>
        <v>9947.1824000000015</v>
      </c>
      <c r="O693" s="185">
        <f>SUM(O694:O739)</f>
        <v>11304.229696</v>
      </c>
      <c r="P693" s="185">
        <f>SUM(P694:P739)</f>
        <v>12076.229696</v>
      </c>
      <c r="Q693" s="185">
        <f>SUM(Q694:Q739)</f>
        <v>6568.4788838400009</v>
      </c>
      <c r="R693" s="184">
        <f>SUM(N693:Q693)</f>
        <v>39896.12067584</v>
      </c>
      <c r="S693" s="185">
        <f>SUM(S694:S739)</f>
        <v>6766</v>
      </c>
      <c r="T693" s="185">
        <f>SUM(T694:T739)</f>
        <v>6683</v>
      </c>
      <c r="U693" s="185">
        <f>SUM(U694:U739)</f>
        <v>7225</v>
      </c>
      <c r="V693" s="185">
        <f>SUM(V694:V739)</f>
        <v>6891</v>
      </c>
      <c r="W693" s="184">
        <f>SUM(S693:V693)</f>
        <v>27565</v>
      </c>
      <c r="X693" s="186">
        <v>42978</v>
      </c>
    </row>
    <row r="694" spans="1:24" s="224" customFormat="1" ht="12.75" customHeight="1" x14ac:dyDescent="0.2">
      <c r="A694" s="2605" t="s">
        <v>951</v>
      </c>
      <c r="B694" s="234" t="s">
        <v>952</v>
      </c>
      <c r="C694" s="235"/>
      <c r="D694" s="236"/>
      <c r="E694" s="237"/>
      <c r="F694" s="235">
        <v>1160</v>
      </c>
      <c r="G694" s="237"/>
      <c r="H694" s="238">
        <v>1160</v>
      </c>
      <c r="I694" s="237"/>
      <c r="J694" s="239"/>
      <c r="K694" s="236">
        <v>800</v>
      </c>
      <c r="L694" s="236">
        <v>4328.0600000000004</v>
      </c>
      <c r="M694" s="238">
        <v>5128.0600000000004</v>
      </c>
      <c r="N694" s="236">
        <v>4501.1824000000006</v>
      </c>
      <c r="O694" s="236">
        <v>4681.2296960000003</v>
      </c>
      <c r="P694" s="236">
        <v>4681.2296960000003</v>
      </c>
      <c r="Q694" s="236">
        <v>4868.4788838400009</v>
      </c>
      <c r="R694" s="238">
        <v>18732.12067584</v>
      </c>
      <c r="S694" s="236"/>
      <c r="T694" s="236"/>
      <c r="U694" s="236"/>
      <c r="V694" s="236"/>
      <c r="W694" s="238">
        <v>0</v>
      </c>
    </row>
    <row r="695" spans="1:24" s="224" customFormat="1" ht="12.75" x14ac:dyDescent="0.2">
      <c r="A695" s="2606"/>
      <c r="B695" s="240" t="s">
        <v>953</v>
      </c>
      <c r="C695" s="241"/>
      <c r="D695" s="242"/>
      <c r="E695" s="243"/>
      <c r="F695" s="241">
        <v>1105</v>
      </c>
      <c r="G695" s="243"/>
      <c r="H695" s="166">
        <v>1105</v>
      </c>
      <c r="I695" s="243"/>
      <c r="J695" s="200"/>
      <c r="K695" s="242"/>
      <c r="L695" s="242"/>
      <c r="M695" s="166"/>
      <c r="N695" s="242"/>
      <c r="O695" s="242"/>
      <c r="P695" s="242"/>
      <c r="Q695" s="242"/>
      <c r="R695" s="166"/>
      <c r="S695" s="242"/>
      <c r="T695" s="242"/>
      <c r="U695" s="242"/>
      <c r="V695" s="242"/>
      <c r="W695" s="166"/>
    </row>
    <row r="696" spans="1:24" s="224" customFormat="1" ht="12.75" x14ac:dyDescent="0.2">
      <c r="A696" s="2606"/>
      <c r="B696" s="240" t="s">
        <v>954</v>
      </c>
      <c r="C696" s="241"/>
      <c r="D696" s="242"/>
      <c r="E696" s="243"/>
      <c r="F696" s="241">
        <v>840</v>
      </c>
      <c r="G696" s="243"/>
      <c r="H696" s="166">
        <v>840</v>
      </c>
      <c r="I696" s="243"/>
      <c r="J696" s="200"/>
      <c r="K696" s="242"/>
      <c r="L696" s="242"/>
      <c r="M696" s="166"/>
      <c r="N696" s="242"/>
      <c r="O696" s="242"/>
      <c r="P696" s="242"/>
      <c r="Q696" s="242"/>
      <c r="R696" s="166"/>
      <c r="S696" s="242"/>
      <c r="T696" s="242"/>
      <c r="U696" s="242"/>
      <c r="V696" s="242"/>
      <c r="W696" s="166"/>
    </row>
    <row r="697" spans="1:24" s="224" customFormat="1" ht="15" customHeight="1" x14ac:dyDescent="0.2">
      <c r="A697" s="2606"/>
      <c r="B697" s="240" t="s">
        <v>955</v>
      </c>
      <c r="C697" s="241"/>
      <c r="D697" s="242"/>
      <c r="E697" s="243"/>
      <c r="F697" s="243"/>
      <c r="G697" s="241">
        <v>898</v>
      </c>
      <c r="H697" s="166">
        <v>898</v>
      </c>
      <c r="I697" s="243"/>
      <c r="J697" s="200"/>
      <c r="K697" s="242"/>
      <c r="L697" s="242"/>
      <c r="M697" s="166"/>
      <c r="N697" s="242"/>
      <c r="O697" s="242"/>
      <c r="P697" s="242"/>
      <c r="Q697" s="242"/>
      <c r="R697" s="166"/>
      <c r="S697" s="242"/>
      <c r="T697" s="242"/>
      <c r="U697" s="242"/>
      <c r="V697" s="242"/>
      <c r="W697" s="166"/>
    </row>
    <row r="698" spans="1:24" s="224" customFormat="1" ht="12.75" x14ac:dyDescent="0.2">
      <c r="A698" s="2606"/>
      <c r="B698" s="240" t="s">
        <v>956</v>
      </c>
      <c r="C698" s="200"/>
      <c r="D698" s="242"/>
      <c r="E698" s="243"/>
      <c r="F698" s="243"/>
      <c r="G698" s="241">
        <v>898</v>
      </c>
      <c r="H698" s="166">
        <v>898</v>
      </c>
      <c r="I698" s="243"/>
      <c r="J698" s="200"/>
      <c r="K698" s="242"/>
      <c r="L698" s="242"/>
      <c r="M698" s="166"/>
      <c r="N698" s="242"/>
      <c r="O698" s="242"/>
      <c r="P698" s="242"/>
      <c r="Q698" s="242"/>
      <c r="R698" s="166"/>
      <c r="S698" s="242"/>
      <c r="T698" s="242"/>
      <c r="U698" s="242"/>
      <c r="V698" s="242"/>
      <c r="W698" s="166"/>
    </row>
    <row r="699" spans="1:24" s="224" customFormat="1" ht="12" customHeight="1" x14ac:dyDescent="0.2">
      <c r="A699" s="2606"/>
      <c r="B699" s="240" t="s">
        <v>957</v>
      </c>
      <c r="C699" s="200"/>
      <c r="D699" s="242"/>
      <c r="E699" s="243"/>
      <c r="F699" s="243"/>
      <c r="G699" s="243"/>
      <c r="H699" s="166"/>
      <c r="I699" s="241">
        <v>1265</v>
      </c>
      <c r="J699" s="200"/>
      <c r="K699" s="242"/>
      <c r="L699" s="242"/>
      <c r="M699" s="166"/>
      <c r="N699" s="242"/>
      <c r="O699" s="242"/>
      <c r="P699" s="242"/>
      <c r="Q699" s="242"/>
      <c r="R699" s="166"/>
      <c r="S699" s="242"/>
      <c r="T699" s="242"/>
      <c r="U699" s="242"/>
      <c r="V699" s="242"/>
      <c r="W699" s="166"/>
    </row>
    <row r="700" spans="1:24" s="224" customFormat="1" ht="12.75" x14ac:dyDescent="0.2">
      <c r="A700" s="2606"/>
      <c r="B700" s="240" t="s">
        <v>958</v>
      </c>
      <c r="C700" s="200"/>
      <c r="D700" s="242"/>
      <c r="E700" s="243"/>
      <c r="F700" s="243"/>
      <c r="G700" s="243"/>
      <c r="H700" s="166"/>
      <c r="I700" s="241">
        <v>1265</v>
      </c>
      <c r="J700" s="200"/>
      <c r="K700" s="242"/>
      <c r="L700" s="242"/>
      <c r="M700" s="166"/>
      <c r="N700" s="242"/>
      <c r="O700" s="242"/>
      <c r="P700" s="242"/>
      <c r="Q700" s="242"/>
      <c r="R700" s="166"/>
      <c r="S700" s="242"/>
      <c r="T700" s="242"/>
      <c r="U700" s="242"/>
      <c r="V700" s="242"/>
      <c r="W700" s="166"/>
    </row>
    <row r="701" spans="1:24" s="224" customFormat="1" ht="12.75" x14ac:dyDescent="0.2">
      <c r="A701" s="2606"/>
      <c r="B701" s="240" t="s">
        <v>959</v>
      </c>
      <c r="C701" s="200"/>
      <c r="D701" s="242"/>
      <c r="E701" s="243"/>
      <c r="F701" s="243"/>
      <c r="G701" s="243"/>
      <c r="H701" s="166"/>
      <c r="I701" s="243"/>
      <c r="J701" s="241">
        <v>1029</v>
      </c>
      <c r="K701" s="242"/>
      <c r="L701" s="242"/>
      <c r="M701" s="166"/>
      <c r="N701" s="242"/>
      <c r="O701" s="242"/>
      <c r="P701" s="242"/>
      <c r="Q701" s="242"/>
      <c r="R701" s="166"/>
      <c r="S701" s="242"/>
      <c r="T701" s="242"/>
      <c r="U701" s="242"/>
      <c r="V701" s="242"/>
      <c r="W701" s="166"/>
    </row>
    <row r="702" spans="1:24" s="224" customFormat="1" ht="12.75" x14ac:dyDescent="0.2">
      <c r="A702" s="2606"/>
      <c r="B702" s="240" t="s">
        <v>960</v>
      </c>
      <c r="C702" s="200"/>
      <c r="D702" s="242"/>
      <c r="E702" s="243"/>
      <c r="F702" s="243"/>
      <c r="G702" s="243"/>
      <c r="H702" s="166"/>
      <c r="I702" s="243"/>
      <c r="J702" s="241">
        <v>1029</v>
      </c>
      <c r="K702" s="242"/>
      <c r="L702" s="242"/>
      <c r="M702" s="166"/>
      <c r="N702" s="242"/>
      <c r="O702" s="242"/>
      <c r="P702" s="242"/>
      <c r="Q702" s="242"/>
      <c r="R702" s="166"/>
      <c r="S702" s="242"/>
      <c r="T702" s="242"/>
      <c r="U702" s="242"/>
      <c r="V702" s="242"/>
      <c r="W702" s="166"/>
    </row>
    <row r="703" spans="1:24" s="224" customFormat="1" ht="12.75" x14ac:dyDescent="0.2">
      <c r="A703" s="2606"/>
      <c r="B703" s="240" t="s">
        <v>961</v>
      </c>
      <c r="C703" s="200"/>
      <c r="D703" s="242"/>
      <c r="E703" s="243"/>
      <c r="F703" s="243"/>
      <c r="G703" s="243"/>
      <c r="H703" s="166"/>
      <c r="I703" s="243"/>
      <c r="J703" s="241"/>
      <c r="K703" s="241">
        <v>1101</v>
      </c>
      <c r="L703" s="242"/>
      <c r="M703" s="166"/>
      <c r="N703" s="242"/>
      <c r="O703" s="242"/>
      <c r="P703" s="242"/>
      <c r="Q703" s="242"/>
      <c r="R703" s="166"/>
      <c r="S703" s="242"/>
      <c r="T703" s="242"/>
      <c r="U703" s="242"/>
      <c r="V703" s="242"/>
      <c r="W703" s="166"/>
    </row>
    <row r="704" spans="1:24" s="224" customFormat="1" ht="12.75" x14ac:dyDescent="0.2">
      <c r="A704" s="2606"/>
      <c r="B704" s="240" t="s">
        <v>962</v>
      </c>
      <c r="C704" s="200"/>
      <c r="D704" s="242"/>
      <c r="E704" s="243"/>
      <c r="F704" s="243"/>
      <c r="G704" s="243"/>
      <c r="H704" s="166"/>
      <c r="I704" s="243"/>
      <c r="J704" s="241"/>
      <c r="K704" s="241">
        <v>1101</v>
      </c>
      <c r="L704" s="242"/>
      <c r="M704" s="166"/>
      <c r="N704" s="242"/>
      <c r="O704" s="242"/>
      <c r="P704" s="242"/>
      <c r="Q704" s="242"/>
      <c r="R704" s="166"/>
      <c r="S704" s="242"/>
      <c r="T704" s="242"/>
      <c r="U704" s="242"/>
      <c r="V704" s="242"/>
      <c r="W704" s="166"/>
    </row>
    <row r="705" spans="1:23" s="224" customFormat="1" ht="12.75" x14ac:dyDescent="0.2">
      <c r="A705" s="2606"/>
      <c r="B705" s="240" t="s">
        <v>963</v>
      </c>
      <c r="C705" s="200"/>
      <c r="D705" s="242"/>
      <c r="E705" s="243"/>
      <c r="F705" s="243"/>
      <c r="G705" s="243"/>
      <c r="H705" s="166"/>
      <c r="I705" s="243"/>
      <c r="J705" s="200"/>
      <c r="K705" s="242"/>
      <c r="L705" s="241">
        <v>1179</v>
      </c>
      <c r="M705" s="166">
        <v>1179</v>
      </c>
      <c r="N705" s="242"/>
      <c r="O705" s="242"/>
      <c r="P705" s="242"/>
      <c r="Q705" s="242"/>
      <c r="R705" s="166"/>
      <c r="S705" s="242"/>
      <c r="T705" s="242"/>
      <c r="U705" s="242"/>
      <c r="V705" s="242"/>
      <c r="W705" s="166"/>
    </row>
    <row r="706" spans="1:23" s="224" customFormat="1" ht="12" customHeight="1" x14ac:dyDescent="0.2">
      <c r="A706" s="2606"/>
      <c r="B706" s="240" t="s">
        <v>964</v>
      </c>
      <c r="C706" s="200"/>
      <c r="D706" s="242"/>
      <c r="E706" s="243"/>
      <c r="F706" s="243"/>
      <c r="G706" s="243"/>
      <c r="H706" s="166"/>
      <c r="I706" s="243"/>
      <c r="J706" s="200"/>
      <c r="K706" s="242"/>
      <c r="L706" s="241">
        <v>1179</v>
      </c>
      <c r="M706" s="166">
        <v>1179</v>
      </c>
      <c r="N706" s="242"/>
      <c r="O706" s="242"/>
      <c r="P706" s="242"/>
      <c r="Q706" s="242"/>
      <c r="R706" s="166"/>
      <c r="S706" s="242"/>
      <c r="T706" s="242"/>
      <c r="U706" s="242"/>
      <c r="V706" s="242"/>
      <c r="W706" s="166"/>
    </row>
    <row r="707" spans="1:23" s="224" customFormat="1" ht="12.75" x14ac:dyDescent="0.2">
      <c r="A707" s="2606"/>
      <c r="B707" s="240" t="s">
        <v>965</v>
      </c>
      <c r="C707" s="200"/>
      <c r="D707" s="242"/>
      <c r="E707" s="243"/>
      <c r="F707" s="243"/>
      <c r="G707" s="243"/>
      <c r="H707" s="166"/>
      <c r="I707" s="243"/>
      <c r="J707" s="200"/>
      <c r="K707" s="242"/>
      <c r="L707" s="241">
        <v>1179</v>
      </c>
      <c r="M707" s="166">
        <v>1179</v>
      </c>
      <c r="N707" s="242"/>
      <c r="O707" s="242"/>
      <c r="P707" s="242"/>
      <c r="Q707" s="242"/>
      <c r="R707" s="166"/>
      <c r="S707" s="242"/>
      <c r="T707" s="242"/>
      <c r="U707" s="242"/>
      <c r="V707" s="242"/>
      <c r="W707" s="166"/>
    </row>
    <row r="708" spans="1:23" s="224" customFormat="1" ht="12.75" x14ac:dyDescent="0.2">
      <c r="A708" s="2606"/>
      <c r="B708" s="240" t="s">
        <v>966</v>
      </c>
      <c r="C708" s="200"/>
      <c r="D708" s="242"/>
      <c r="E708" s="243"/>
      <c r="F708" s="243"/>
      <c r="G708" s="243"/>
      <c r="H708" s="166"/>
      <c r="I708" s="243"/>
      <c r="J708" s="200"/>
      <c r="K708" s="242"/>
      <c r="L708" s="241">
        <v>589</v>
      </c>
      <c r="M708" s="166">
        <v>589</v>
      </c>
      <c r="N708" s="242"/>
      <c r="O708" s="242"/>
      <c r="P708" s="242"/>
      <c r="Q708" s="242"/>
      <c r="R708" s="166"/>
      <c r="S708" s="242"/>
      <c r="T708" s="242"/>
      <c r="U708" s="242"/>
      <c r="V708" s="242"/>
      <c r="W708" s="166"/>
    </row>
    <row r="709" spans="1:23" s="224" customFormat="1" ht="12.75" x14ac:dyDescent="0.2">
      <c r="A709" s="2606"/>
      <c r="B709" s="240" t="s">
        <v>967</v>
      </c>
      <c r="C709" s="200"/>
      <c r="D709" s="242"/>
      <c r="E709" s="243"/>
      <c r="F709" s="243"/>
      <c r="G709" s="243"/>
      <c r="H709" s="166"/>
      <c r="I709" s="243"/>
      <c r="J709" s="200"/>
      <c r="K709" s="242"/>
      <c r="L709" s="242"/>
      <c r="M709" s="166"/>
      <c r="N709" s="241">
        <v>1658</v>
      </c>
      <c r="O709" s="242"/>
      <c r="P709" s="242"/>
      <c r="Q709" s="242"/>
      <c r="R709" s="166"/>
      <c r="S709" s="242"/>
      <c r="T709" s="242"/>
      <c r="U709" s="242"/>
      <c r="V709" s="242"/>
      <c r="W709" s="166"/>
    </row>
    <row r="710" spans="1:23" s="224" customFormat="1" ht="12.75" x14ac:dyDescent="0.2">
      <c r="A710" s="2606"/>
      <c r="B710" s="240" t="s">
        <v>968</v>
      </c>
      <c r="C710" s="200"/>
      <c r="D710" s="242"/>
      <c r="E710" s="243"/>
      <c r="F710" s="243"/>
      <c r="G710" s="243"/>
      <c r="H710" s="166"/>
      <c r="I710" s="243"/>
      <c r="J710" s="200"/>
      <c r="K710" s="242"/>
      <c r="L710" s="242"/>
      <c r="M710" s="166"/>
      <c r="N710" s="241">
        <v>1658</v>
      </c>
      <c r="O710" s="242"/>
      <c r="P710" s="242"/>
      <c r="Q710" s="242"/>
      <c r="R710" s="166"/>
      <c r="S710" s="242"/>
      <c r="T710" s="242"/>
      <c r="U710" s="242"/>
      <c r="V710" s="242"/>
      <c r="W710" s="166"/>
    </row>
    <row r="711" spans="1:23" s="224" customFormat="1" ht="12.75" x14ac:dyDescent="0.2">
      <c r="A711" s="2606"/>
      <c r="B711" s="240" t="s">
        <v>969</v>
      </c>
      <c r="C711" s="200"/>
      <c r="D711" s="242"/>
      <c r="E711" s="243"/>
      <c r="F711" s="243"/>
      <c r="G711" s="243"/>
      <c r="H711" s="166"/>
      <c r="I711" s="243"/>
      <c r="J711" s="200"/>
      <c r="K711" s="242"/>
      <c r="L711" s="242"/>
      <c r="M711" s="166"/>
      <c r="N711" s="241">
        <v>830</v>
      </c>
      <c r="O711" s="242"/>
      <c r="P711" s="242"/>
      <c r="Q711" s="242"/>
      <c r="R711" s="166"/>
      <c r="S711" s="242"/>
      <c r="T711" s="242"/>
      <c r="U711" s="242"/>
      <c r="V711" s="242"/>
      <c r="W711" s="166"/>
    </row>
    <row r="712" spans="1:23" s="224" customFormat="1" ht="12.75" x14ac:dyDescent="0.2">
      <c r="A712" s="2606"/>
      <c r="B712" s="240" t="s">
        <v>970</v>
      </c>
      <c r="C712" s="200"/>
      <c r="D712" s="242"/>
      <c r="E712" s="243"/>
      <c r="F712" s="243"/>
      <c r="G712" s="243"/>
      <c r="H712" s="166"/>
      <c r="I712" s="243"/>
      <c r="J712" s="200"/>
      <c r="K712" s="242"/>
      <c r="L712" s="242"/>
      <c r="M712" s="166"/>
      <c r="N712" s="242"/>
      <c r="O712" s="241">
        <v>1774</v>
      </c>
      <c r="P712" s="242"/>
      <c r="Q712" s="242"/>
      <c r="R712" s="166"/>
      <c r="S712" s="242"/>
      <c r="T712" s="242"/>
      <c r="U712" s="242"/>
      <c r="V712" s="242"/>
      <c r="W712" s="166"/>
    </row>
    <row r="713" spans="1:23" s="224" customFormat="1" ht="12.75" x14ac:dyDescent="0.2">
      <c r="A713" s="2606"/>
      <c r="B713" s="240" t="s">
        <v>971</v>
      </c>
      <c r="C713" s="200"/>
      <c r="D713" s="242"/>
      <c r="E713" s="243"/>
      <c r="F713" s="243"/>
      <c r="G713" s="243"/>
      <c r="H713" s="166"/>
      <c r="I713" s="243"/>
      <c r="J713" s="200"/>
      <c r="K713" s="242"/>
      <c r="L713" s="242"/>
      <c r="M713" s="166"/>
      <c r="N713" s="242"/>
      <c r="O713" s="241">
        <v>1775</v>
      </c>
      <c r="P713" s="242"/>
      <c r="Q713" s="242"/>
      <c r="R713" s="166"/>
      <c r="S713" s="242"/>
      <c r="T713" s="242"/>
      <c r="U713" s="242"/>
      <c r="V713" s="242"/>
      <c r="W713" s="166"/>
    </row>
    <row r="714" spans="1:23" s="224" customFormat="1" ht="12.75" x14ac:dyDescent="0.2">
      <c r="A714" s="2606"/>
      <c r="B714" s="240" t="s">
        <v>972</v>
      </c>
      <c r="C714" s="200"/>
      <c r="D714" s="242"/>
      <c r="E714" s="243"/>
      <c r="F714" s="243"/>
      <c r="G714" s="243"/>
      <c r="H714" s="166"/>
      <c r="I714" s="243"/>
      <c r="J714" s="200"/>
      <c r="K714" s="242"/>
      <c r="L714" s="242"/>
      <c r="M714" s="166"/>
      <c r="N714" s="242"/>
      <c r="O714" s="241">
        <v>1774</v>
      </c>
      <c r="P714" s="242"/>
      <c r="Q714" s="242"/>
      <c r="R714" s="166"/>
      <c r="S714" s="242"/>
      <c r="T714" s="242"/>
      <c r="U714" s="242"/>
      <c r="V714" s="242"/>
      <c r="W714" s="166"/>
    </row>
    <row r="715" spans="1:23" s="224" customFormat="1" ht="12.75" x14ac:dyDescent="0.2">
      <c r="A715" s="2606"/>
      <c r="B715" s="240" t="s">
        <v>973</v>
      </c>
      <c r="C715" s="200"/>
      <c r="D715" s="242"/>
      <c r="E715" s="243"/>
      <c r="F715" s="243"/>
      <c r="G715" s="243"/>
      <c r="H715" s="166"/>
      <c r="I715" s="243"/>
      <c r="J715" s="200"/>
      <c r="K715" s="242"/>
      <c r="L715" s="242"/>
      <c r="M715" s="166"/>
      <c r="N715" s="242"/>
      <c r="O715" s="242"/>
      <c r="P715" s="241">
        <v>1898</v>
      </c>
      <c r="Q715" s="242"/>
      <c r="R715" s="166"/>
      <c r="S715" s="242"/>
      <c r="T715" s="242"/>
      <c r="U715" s="242"/>
      <c r="V715" s="242"/>
      <c r="W715" s="166"/>
    </row>
    <row r="716" spans="1:23" s="224" customFormat="1" ht="12.75" x14ac:dyDescent="0.2">
      <c r="A716" s="2606"/>
      <c r="B716" s="240" t="s">
        <v>974</v>
      </c>
      <c r="C716" s="200"/>
      <c r="D716" s="242"/>
      <c r="E716" s="243"/>
      <c r="F716" s="243"/>
      <c r="G716" s="243"/>
      <c r="H716" s="166"/>
      <c r="I716" s="243"/>
      <c r="J716" s="200"/>
      <c r="K716" s="242"/>
      <c r="L716" s="242"/>
      <c r="M716" s="166"/>
      <c r="N716" s="242"/>
      <c r="O716" s="242"/>
      <c r="P716" s="241">
        <v>1898</v>
      </c>
      <c r="Q716" s="242"/>
      <c r="R716" s="166"/>
      <c r="S716" s="242"/>
      <c r="T716" s="242"/>
      <c r="U716" s="242"/>
      <c r="V716" s="242"/>
      <c r="W716" s="166"/>
    </row>
    <row r="717" spans="1:23" s="224" customFormat="1" ht="12.75" x14ac:dyDescent="0.2">
      <c r="A717" s="2606"/>
      <c r="B717" s="240" t="s">
        <v>975</v>
      </c>
      <c r="C717" s="200"/>
      <c r="D717" s="242"/>
      <c r="E717" s="243"/>
      <c r="F717" s="243"/>
      <c r="G717" s="243"/>
      <c r="H717" s="166"/>
      <c r="I717" s="243"/>
      <c r="J717" s="200"/>
      <c r="K717" s="242"/>
      <c r="L717" s="242"/>
      <c r="M717" s="166"/>
      <c r="N717" s="242"/>
      <c r="O717" s="242"/>
      <c r="P717" s="241">
        <v>1899</v>
      </c>
      <c r="Q717" s="242"/>
      <c r="R717" s="166"/>
      <c r="S717" s="242"/>
      <c r="T717" s="242"/>
      <c r="U717" s="242"/>
      <c r="V717" s="242"/>
      <c r="W717" s="166"/>
    </row>
    <row r="718" spans="1:23" s="224" customFormat="1" ht="12.75" x14ac:dyDescent="0.2">
      <c r="A718" s="2606"/>
      <c r="B718" s="240" t="s">
        <v>976</v>
      </c>
      <c r="C718" s="200"/>
      <c r="D718" s="242"/>
      <c r="E718" s="243"/>
      <c r="F718" s="243"/>
      <c r="G718" s="243"/>
      <c r="H718" s="166"/>
      <c r="I718" s="243"/>
      <c r="J718" s="200"/>
      <c r="K718" s="242"/>
      <c r="L718" s="242"/>
      <c r="M718" s="166"/>
      <c r="N718" s="242"/>
      <c r="O718" s="242"/>
      <c r="P718" s="242"/>
      <c r="Q718" s="242"/>
      <c r="R718" s="166"/>
      <c r="S718" s="241">
        <v>2684</v>
      </c>
      <c r="T718" s="242"/>
      <c r="U718" s="242"/>
      <c r="V718" s="242"/>
      <c r="W718" s="166"/>
    </row>
    <row r="719" spans="1:23" s="224" customFormat="1" ht="12.75" x14ac:dyDescent="0.2">
      <c r="A719" s="2606"/>
      <c r="B719" s="240" t="s">
        <v>977</v>
      </c>
      <c r="C719" s="200"/>
      <c r="D719" s="242"/>
      <c r="E719" s="243"/>
      <c r="F719" s="243"/>
      <c r="G719" s="243"/>
      <c r="H719" s="166"/>
      <c r="I719" s="243"/>
      <c r="J719" s="200"/>
      <c r="K719" s="242"/>
      <c r="L719" s="242"/>
      <c r="M719" s="166"/>
      <c r="N719" s="242"/>
      <c r="O719" s="242"/>
      <c r="P719" s="242"/>
      <c r="Q719" s="242"/>
      <c r="R719" s="166"/>
      <c r="S719" s="241">
        <v>2282</v>
      </c>
      <c r="T719" s="242"/>
      <c r="U719" s="242"/>
      <c r="V719" s="242"/>
      <c r="W719" s="166"/>
    </row>
    <row r="720" spans="1:23" s="224" customFormat="1" ht="12.75" x14ac:dyDescent="0.2">
      <c r="A720" s="2606"/>
      <c r="B720" s="240" t="s">
        <v>978</v>
      </c>
      <c r="C720" s="200"/>
      <c r="D720" s="242"/>
      <c r="E720" s="243"/>
      <c r="F720" s="243"/>
      <c r="G720" s="243"/>
      <c r="H720" s="166"/>
      <c r="I720" s="243"/>
      <c r="J720" s="200"/>
      <c r="K720" s="242"/>
      <c r="L720" s="242"/>
      <c r="M720" s="166"/>
      <c r="N720" s="242"/>
      <c r="O720" s="242"/>
      <c r="P720" s="242"/>
      <c r="Q720" s="242"/>
      <c r="R720" s="166"/>
      <c r="S720" s="242"/>
      <c r="T720" s="241">
        <v>2441</v>
      </c>
      <c r="U720" s="242"/>
      <c r="V720" s="242"/>
      <c r="W720" s="166"/>
    </row>
    <row r="721" spans="1:23" s="224" customFormat="1" ht="12.75" x14ac:dyDescent="0.2">
      <c r="A721" s="2606"/>
      <c r="B721" s="240" t="s">
        <v>979</v>
      </c>
      <c r="C721" s="200"/>
      <c r="D721" s="242"/>
      <c r="E721" s="243"/>
      <c r="F721" s="243"/>
      <c r="G721" s="243"/>
      <c r="H721" s="166"/>
      <c r="I721" s="243"/>
      <c r="J721" s="200"/>
      <c r="K721" s="242"/>
      <c r="L721" s="242"/>
      <c r="M721" s="166"/>
      <c r="N721" s="242"/>
      <c r="O721" s="242"/>
      <c r="P721" s="242"/>
      <c r="Q721" s="242"/>
      <c r="R721" s="166"/>
      <c r="S721" s="242"/>
      <c r="T721" s="241">
        <v>2442</v>
      </c>
      <c r="U721" s="242"/>
      <c r="V721" s="244"/>
      <c r="W721" s="166"/>
    </row>
    <row r="722" spans="1:23" s="224" customFormat="1" ht="12.75" x14ac:dyDescent="0.2">
      <c r="A722" s="2606"/>
      <c r="B722" s="240" t="s">
        <v>980</v>
      </c>
      <c r="C722" s="200"/>
      <c r="D722" s="242"/>
      <c r="E722" s="243"/>
      <c r="F722" s="243"/>
      <c r="G722" s="243"/>
      <c r="H722" s="166"/>
      <c r="I722" s="243"/>
      <c r="J722" s="200"/>
      <c r="K722" s="242"/>
      <c r="L722" s="242"/>
      <c r="M722" s="166"/>
      <c r="N722" s="242"/>
      <c r="O722" s="242"/>
      <c r="P722" s="242"/>
      <c r="Q722" s="242"/>
      <c r="R722" s="166"/>
      <c r="S722" s="242"/>
      <c r="T722" s="242"/>
      <c r="U722" s="245">
        <v>2612</v>
      </c>
      <c r="V722" s="244"/>
      <c r="W722" s="166"/>
    </row>
    <row r="723" spans="1:23" s="224" customFormat="1" ht="12.75" x14ac:dyDescent="0.2">
      <c r="A723" s="2606"/>
      <c r="B723" s="240" t="s">
        <v>981</v>
      </c>
      <c r="C723" s="200"/>
      <c r="D723" s="242"/>
      <c r="E723" s="243"/>
      <c r="F723" s="243"/>
      <c r="G723" s="243"/>
      <c r="H723" s="166"/>
      <c r="I723" s="243"/>
      <c r="J723" s="200"/>
      <c r="K723" s="242"/>
      <c r="L723" s="242"/>
      <c r="M723" s="166"/>
      <c r="N723" s="242"/>
      <c r="O723" s="242"/>
      <c r="P723" s="242"/>
      <c r="Q723" s="242"/>
      <c r="R723" s="166"/>
      <c r="S723" s="242"/>
      <c r="T723" s="242"/>
      <c r="U723" s="245">
        <v>2613</v>
      </c>
      <c r="V723" s="244"/>
      <c r="W723" s="166"/>
    </row>
    <row r="724" spans="1:23" s="224" customFormat="1" ht="12.75" x14ac:dyDescent="0.2">
      <c r="A724" s="2606"/>
      <c r="B724" s="240" t="s">
        <v>982</v>
      </c>
      <c r="C724" s="200"/>
      <c r="D724" s="242"/>
      <c r="E724" s="243"/>
      <c r="F724" s="243"/>
      <c r="G724" s="243"/>
      <c r="H724" s="166"/>
      <c r="I724" s="243"/>
      <c r="J724" s="200"/>
      <c r="K724" s="242"/>
      <c r="L724" s="242"/>
      <c r="M724" s="166"/>
      <c r="N724" s="242"/>
      <c r="O724" s="242"/>
      <c r="P724" s="242"/>
      <c r="Q724" s="242"/>
      <c r="R724" s="166"/>
      <c r="S724" s="242"/>
      <c r="T724" s="242"/>
      <c r="U724" s="242"/>
      <c r="V724" s="245">
        <v>2795</v>
      </c>
      <c r="W724" s="166"/>
    </row>
    <row r="725" spans="1:23" s="224" customFormat="1" ht="12.75" x14ac:dyDescent="0.2">
      <c r="A725" s="2607"/>
      <c r="B725" s="240" t="s">
        <v>983</v>
      </c>
      <c r="C725" s="200"/>
      <c r="D725" s="242"/>
      <c r="E725" s="243"/>
      <c r="F725" s="243"/>
      <c r="G725" s="243"/>
      <c r="H725" s="166"/>
      <c r="I725" s="243"/>
      <c r="J725" s="200"/>
      <c r="K725" s="242"/>
      <c r="L725" s="242"/>
      <c r="M725" s="166"/>
      <c r="N725" s="242"/>
      <c r="O725" s="242"/>
      <c r="P725" s="242"/>
      <c r="Q725" s="242"/>
      <c r="R725" s="166"/>
      <c r="S725" s="242"/>
      <c r="T725" s="242"/>
      <c r="U725" s="242"/>
      <c r="V725" s="245">
        <v>2796</v>
      </c>
      <c r="W725" s="166"/>
    </row>
    <row r="726" spans="1:23" s="224" customFormat="1" ht="76.5" x14ac:dyDescent="0.2">
      <c r="A726" s="2608" t="s">
        <v>984</v>
      </c>
      <c r="B726" s="246" t="s">
        <v>985</v>
      </c>
      <c r="C726" s="239"/>
      <c r="D726" s="236"/>
      <c r="E726" s="237"/>
      <c r="F726" s="237"/>
      <c r="G726" s="237">
        <v>1000</v>
      </c>
      <c r="H726" s="238">
        <v>1000</v>
      </c>
      <c r="I726" s="237"/>
      <c r="J726" s="239"/>
      <c r="K726" s="236"/>
      <c r="L726" s="236"/>
      <c r="M726" s="238">
        <v>0</v>
      </c>
      <c r="N726" s="236"/>
      <c r="O726" s="236"/>
      <c r="P726" s="236"/>
      <c r="Q726" s="236"/>
      <c r="R726" s="238"/>
      <c r="S726" s="236"/>
      <c r="T726" s="236"/>
      <c r="U726" s="236"/>
      <c r="V726" s="247"/>
      <c r="W726" s="166"/>
    </row>
    <row r="727" spans="1:23" s="224" customFormat="1" ht="76.5" x14ac:dyDescent="0.2">
      <c r="A727" s="2609"/>
      <c r="B727" s="248" t="s">
        <v>986</v>
      </c>
      <c r="C727" s="200"/>
      <c r="D727" s="242"/>
      <c r="E727" s="243"/>
      <c r="F727" s="243">
        <v>1000</v>
      </c>
      <c r="G727" s="243"/>
      <c r="H727" s="166">
        <v>1000</v>
      </c>
      <c r="I727" s="243">
        <v>2000</v>
      </c>
      <c r="J727" s="200"/>
      <c r="K727" s="242"/>
      <c r="L727" s="242"/>
      <c r="M727" s="166">
        <v>2000</v>
      </c>
      <c r="N727" s="242"/>
      <c r="O727" s="242"/>
      <c r="P727" s="242"/>
      <c r="Q727" s="242"/>
      <c r="R727" s="166"/>
      <c r="S727" s="242"/>
      <c r="T727" s="242"/>
      <c r="U727" s="242"/>
      <c r="V727" s="242"/>
      <c r="W727" s="166"/>
    </row>
    <row r="728" spans="1:23" s="224" customFormat="1" ht="12.75" x14ac:dyDescent="0.2">
      <c r="A728" s="2609"/>
      <c r="B728" s="249" t="s">
        <v>987</v>
      </c>
      <c r="C728" s="200"/>
      <c r="D728" s="242"/>
      <c r="E728" s="243"/>
      <c r="F728" s="243"/>
      <c r="G728" s="243"/>
      <c r="H728" s="166">
        <v>0</v>
      </c>
      <c r="I728" s="243"/>
      <c r="J728" s="200">
        <v>1600</v>
      </c>
      <c r="K728" s="242"/>
      <c r="L728" s="242"/>
      <c r="M728" s="166">
        <v>1600</v>
      </c>
      <c r="N728" s="242"/>
      <c r="O728" s="242"/>
      <c r="P728" s="242"/>
      <c r="Q728" s="242"/>
      <c r="R728" s="166"/>
      <c r="S728" s="242"/>
      <c r="T728" s="242"/>
      <c r="U728" s="242"/>
      <c r="V728" s="242"/>
      <c r="W728" s="166"/>
    </row>
    <row r="729" spans="1:23" s="224" customFormat="1" ht="15" customHeight="1" x14ac:dyDescent="0.2">
      <c r="A729" s="2609"/>
      <c r="B729" s="249" t="s">
        <v>988</v>
      </c>
      <c r="C729" s="200"/>
      <c r="D729" s="242"/>
      <c r="E729" s="243"/>
      <c r="F729" s="243"/>
      <c r="G729" s="243"/>
      <c r="H729" s="166">
        <v>0</v>
      </c>
      <c r="I729" s="243"/>
      <c r="J729" s="200"/>
      <c r="K729" s="242">
        <v>1200</v>
      </c>
      <c r="L729" s="242"/>
      <c r="M729" s="166">
        <v>1200</v>
      </c>
      <c r="N729" s="242"/>
      <c r="O729" s="242"/>
      <c r="P729" s="242"/>
      <c r="Q729" s="242"/>
      <c r="R729" s="166"/>
      <c r="S729" s="242"/>
      <c r="T729" s="242"/>
      <c r="U729" s="242"/>
      <c r="V729" s="242"/>
      <c r="W729" s="166"/>
    </row>
    <row r="730" spans="1:23" s="224" customFormat="1" ht="63.75" x14ac:dyDescent="0.2">
      <c r="A730" s="2609"/>
      <c r="B730" s="248" t="s">
        <v>989</v>
      </c>
      <c r="C730" s="200"/>
      <c r="D730" s="242"/>
      <c r="E730" s="243"/>
      <c r="F730" s="243"/>
      <c r="G730" s="243"/>
      <c r="H730" s="166">
        <v>0</v>
      </c>
      <c r="I730" s="243"/>
      <c r="J730" s="200"/>
      <c r="K730" s="242"/>
      <c r="L730" s="242">
        <v>1500</v>
      </c>
      <c r="M730" s="166">
        <v>1500</v>
      </c>
      <c r="N730" s="242"/>
      <c r="O730" s="242"/>
      <c r="P730" s="242"/>
      <c r="Q730" s="242"/>
      <c r="R730" s="166"/>
      <c r="S730" s="242"/>
      <c r="T730" s="242"/>
      <c r="U730" s="242"/>
      <c r="V730" s="242"/>
      <c r="W730" s="166"/>
    </row>
    <row r="731" spans="1:23" s="224" customFormat="1" ht="12.75" x14ac:dyDescent="0.2">
      <c r="A731" s="2609"/>
      <c r="B731" s="249" t="s">
        <v>990</v>
      </c>
      <c r="C731" s="200"/>
      <c r="D731" s="242"/>
      <c r="E731" s="243"/>
      <c r="F731" s="243"/>
      <c r="G731" s="243"/>
      <c r="H731" s="166">
        <v>0</v>
      </c>
      <c r="I731" s="243"/>
      <c r="J731" s="200"/>
      <c r="K731" s="242"/>
      <c r="L731" s="242"/>
      <c r="M731" s="166">
        <v>0</v>
      </c>
      <c r="N731" s="242">
        <v>1300</v>
      </c>
      <c r="O731" s="242"/>
      <c r="P731" s="242"/>
      <c r="Q731" s="242"/>
      <c r="R731" s="166">
        <v>1300</v>
      </c>
      <c r="S731" s="242"/>
      <c r="T731" s="242"/>
      <c r="U731" s="242"/>
      <c r="V731" s="242"/>
      <c r="W731" s="166"/>
    </row>
    <row r="732" spans="1:23" s="224" customFormat="1" ht="12.75" x14ac:dyDescent="0.2">
      <c r="A732" s="2609"/>
      <c r="B732" s="249" t="s">
        <v>991</v>
      </c>
      <c r="C732" s="200"/>
      <c r="D732" s="242"/>
      <c r="E732" s="243"/>
      <c r="F732" s="243"/>
      <c r="G732" s="243">
        <v>0</v>
      </c>
      <c r="H732" s="166">
        <v>0</v>
      </c>
      <c r="I732" s="243"/>
      <c r="J732" s="200"/>
      <c r="K732" s="242"/>
      <c r="L732" s="242"/>
      <c r="M732" s="166">
        <v>0</v>
      </c>
      <c r="N732" s="242"/>
      <c r="O732" s="242">
        <v>1300</v>
      </c>
      <c r="P732" s="242"/>
      <c r="Q732" s="242"/>
      <c r="R732" s="166">
        <v>1300</v>
      </c>
      <c r="S732" s="242"/>
      <c r="T732" s="242"/>
      <c r="U732" s="242"/>
      <c r="V732" s="242"/>
      <c r="W732" s="166"/>
    </row>
    <row r="733" spans="1:23" s="224" customFormat="1" ht="12.75" x14ac:dyDescent="0.2">
      <c r="A733" s="2609"/>
      <c r="B733" s="249" t="s">
        <v>992</v>
      </c>
      <c r="C733" s="200"/>
      <c r="D733" s="242"/>
      <c r="E733" s="243"/>
      <c r="F733" s="243"/>
      <c r="G733" s="243"/>
      <c r="H733" s="166">
        <v>0</v>
      </c>
      <c r="I733" s="243"/>
      <c r="J733" s="200"/>
      <c r="K733" s="242"/>
      <c r="L733" s="242"/>
      <c r="M733" s="166">
        <v>0</v>
      </c>
      <c r="N733" s="242"/>
      <c r="O733" s="242"/>
      <c r="P733" s="242">
        <v>1700</v>
      </c>
      <c r="Q733" s="242"/>
      <c r="R733" s="166">
        <v>1700</v>
      </c>
      <c r="S733" s="242"/>
      <c r="T733" s="242"/>
      <c r="U733" s="242"/>
      <c r="V733" s="242"/>
      <c r="W733" s="166"/>
    </row>
    <row r="734" spans="1:23" s="250" customFormat="1" ht="40.15" customHeight="1" x14ac:dyDescent="0.2">
      <c r="A734" s="2609"/>
      <c r="B734" s="248" t="s">
        <v>993</v>
      </c>
      <c r="C734" s="200"/>
      <c r="D734" s="242"/>
      <c r="E734" s="243"/>
      <c r="F734" s="243"/>
      <c r="G734" s="243"/>
      <c r="H734" s="166">
        <v>0</v>
      </c>
      <c r="I734" s="243"/>
      <c r="J734" s="200"/>
      <c r="K734" s="242"/>
      <c r="L734" s="242"/>
      <c r="M734" s="166">
        <v>0</v>
      </c>
      <c r="N734" s="242"/>
      <c r="O734" s="242"/>
      <c r="P734" s="242"/>
      <c r="Q734" s="242">
        <v>1700</v>
      </c>
      <c r="R734" s="166">
        <v>1700</v>
      </c>
      <c r="S734" s="242"/>
      <c r="T734" s="242"/>
      <c r="U734" s="242"/>
      <c r="V734" s="242"/>
      <c r="W734" s="166"/>
    </row>
    <row r="735" spans="1:23" s="250" customFormat="1" ht="15" customHeight="1" x14ac:dyDescent="0.2">
      <c r="A735" s="2609"/>
      <c r="B735" s="249" t="s">
        <v>994</v>
      </c>
      <c r="C735" s="200"/>
      <c r="D735" s="242"/>
      <c r="E735" s="243"/>
      <c r="F735" s="243"/>
      <c r="G735" s="243"/>
      <c r="H735" s="166">
        <v>0</v>
      </c>
      <c r="I735" s="243"/>
      <c r="J735" s="200"/>
      <c r="K735" s="242"/>
      <c r="L735" s="242"/>
      <c r="M735" s="166">
        <v>0</v>
      </c>
      <c r="N735" s="242"/>
      <c r="O735" s="242"/>
      <c r="P735" s="242"/>
      <c r="Q735" s="242"/>
      <c r="R735" s="166"/>
      <c r="S735" s="242">
        <v>1800</v>
      </c>
      <c r="T735" s="242"/>
      <c r="U735" s="242"/>
      <c r="V735" s="242"/>
      <c r="W735" s="166">
        <v>1800</v>
      </c>
    </row>
    <row r="736" spans="1:23" s="250" customFormat="1" ht="15" customHeight="1" x14ac:dyDescent="0.2">
      <c r="A736" s="2609"/>
      <c r="B736" s="249" t="s">
        <v>995</v>
      </c>
      <c r="C736" s="200"/>
      <c r="D736" s="242"/>
      <c r="E736" s="243"/>
      <c r="F736" s="243"/>
      <c r="G736" s="243"/>
      <c r="H736" s="166">
        <v>0</v>
      </c>
      <c r="I736" s="243"/>
      <c r="J736" s="200"/>
      <c r="K736" s="242"/>
      <c r="L736" s="242"/>
      <c r="M736" s="166">
        <v>0</v>
      </c>
      <c r="N736" s="242"/>
      <c r="O736" s="242"/>
      <c r="P736" s="242"/>
      <c r="Q736" s="242"/>
      <c r="R736" s="166"/>
      <c r="S736" s="242"/>
      <c r="T736" s="242">
        <v>1800</v>
      </c>
      <c r="U736" s="242"/>
      <c r="V736" s="242"/>
      <c r="W736" s="166">
        <v>1800</v>
      </c>
    </row>
    <row r="737" spans="1:24" s="250" customFormat="1" ht="15" customHeight="1" x14ac:dyDescent="0.2">
      <c r="A737" s="2609"/>
      <c r="B737" s="249" t="s">
        <v>996</v>
      </c>
      <c r="C737" s="200"/>
      <c r="D737" s="242"/>
      <c r="E737" s="243"/>
      <c r="F737" s="243"/>
      <c r="G737" s="243"/>
      <c r="H737" s="166">
        <v>0</v>
      </c>
      <c r="I737" s="243"/>
      <c r="J737" s="200"/>
      <c r="K737" s="242"/>
      <c r="L737" s="242"/>
      <c r="M737" s="166">
        <v>0</v>
      </c>
      <c r="N737" s="242"/>
      <c r="O737" s="242"/>
      <c r="P737" s="242"/>
      <c r="Q737" s="242"/>
      <c r="R737" s="166"/>
      <c r="S737" s="242"/>
      <c r="T737" s="242"/>
      <c r="U737" s="242">
        <v>2000</v>
      </c>
      <c r="V737" s="242"/>
      <c r="W737" s="166">
        <v>2000</v>
      </c>
    </row>
    <row r="738" spans="1:24" s="250" customFormat="1" ht="15" customHeight="1" x14ac:dyDescent="0.2">
      <c r="A738" s="2610"/>
      <c r="B738" s="251" t="s">
        <v>997</v>
      </c>
      <c r="C738" s="252"/>
      <c r="D738" s="253"/>
      <c r="E738" s="254"/>
      <c r="F738" s="254"/>
      <c r="G738" s="254"/>
      <c r="H738" s="255">
        <v>0</v>
      </c>
      <c r="I738" s="254"/>
      <c r="J738" s="252"/>
      <c r="K738" s="253"/>
      <c r="L738" s="253"/>
      <c r="M738" s="255">
        <v>0</v>
      </c>
      <c r="N738" s="253"/>
      <c r="O738" s="253"/>
      <c r="P738" s="253"/>
      <c r="Q738" s="253"/>
      <c r="R738" s="255"/>
      <c r="S738" s="253"/>
      <c r="T738" s="253"/>
      <c r="U738" s="253"/>
      <c r="V738" s="253">
        <v>1300</v>
      </c>
      <c r="W738" s="255">
        <v>1300</v>
      </c>
    </row>
    <row r="739" spans="1:24" s="250" customFormat="1" ht="27.75" customHeight="1" thickBot="1" x14ac:dyDescent="0.25">
      <c r="A739" s="256" t="s">
        <v>998</v>
      </c>
      <c r="B739" s="257" t="s">
        <v>999</v>
      </c>
      <c r="C739" s="200"/>
      <c r="D739" s="242"/>
      <c r="E739" s="243"/>
      <c r="F739" s="243">
        <v>500</v>
      </c>
      <c r="G739" s="243"/>
      <c r="H739" s="166">
        <v>500</v>
      </c>
      <c r="I739" s="243"/>
      <c r="J739" s="200"/>
      <c r="K739" s="242"/>
      <c r="L739" s="242"/>
      <c r="M739" s="166"/>
      <c r="N739" s="242"/>
      <c r="O739" s="242"/>
      <c r="P739" s="242"/>
      <c r="Q739" s="242"/>
      <c r="R739" s="166"/>
      <c r="S739" s="242"/>
      <c r="T739" s="242"/>
      <c r="U739" s="242"/>
      <c r="V739" s="242"/>
      <c r="W739" s="166"/>
    </row>
    <row r="740" spans="1:24" s="187" customFormat="1" ht="57" customHeight="1" x14ac:dyDescent="0.2">
      <c r="A740" s="183" t="s">
        <v>1000</v>
      </c>
      <c r="B740" s="184"/>
      <c r="C740" s="185">
        <f>SUM(C741:C757)</f>
        <v>34607</v>
      </c>
      <c r="D740" s="185">
        <f>SUM(D741:D757)</f>
        <v>34993.148000000008</v>
      </c>
      <c r="E740" s="185">
        <f>SUM(E741:E757)</f>
        <v>37540.478359999994</v>
      </c>
      <c r="F740" s="185">
        <f>SUM(F741:F757)</f>
        <v>42554</v>
      </c>
      <c r="G740" s="185">
        <f>SUM(G741:G757)</f>
        <v>44630.215100000009</v>
      </c>
      <c r="H740" s="184">
        <f>SUM(D740:G740)</f>
        <v>159717.84146</v>
      </c>
      <c r="I740" s="185">
        <f>SUM(I741:I757)</f>
        <v>47540.398006000003</v>
      </c>
      <c r="J740" s="185">
        <f>SUM(J741:J757)</f>
        <v>50090.33848636</v>
      </c>
      <c r="K740" s="185">
        <f>SUM(K741:K757)</f>
        <v>53324.279127541617</v>
      </c>
      <c r="L740" s="185">
        <f>SUM(L741:L757)</f>
        <v>56211.273666154098</v>
      </c>
      <c r="M740" s="184">
        <f>SUM(I740:L740)</f>
        <v>207166.28928605572</v>
      </c>
      <c r="N740" s="185">
        <f>SUM(N741:N757)</f>
        <v>59281.802560031414</v>
      </c>
      <c r="O740" s="185">
        <f>SUM(O741:O757)</f>
        <v>61945.677327985359</v>
      </c>
      <c r="P740" s="185">
        <f>SUM(P741:P757)</f>
        <v>64872.20644137526</v>
      </c>
      <c r="Q740" s="185">
        <f>SUM(Q741:Q757)</f>
        <v>67344.829474112659</v>
      </c>
      <c r="R740" s="184">
        <f>SUM(N740:Q740)</f>
        <v>253444.51580350468</v>
      </c>
      <c r="S740" s="185">
        <f>SUM(S741:S757)</f>
        <v>70316.037434018726</v>
      </c>
      <c r="T740" s="185">
        <f>SUM(T741:T757)</f>
        <v>72809.913075438191</v>
      </c>
      <c r="U740" s="185">
        <f>SUM(U741:U757)</f>
        <v>76007.661486733661</v>
      </c>
      <c r="V740" s="185">
        <f>SUM(V741:V757)</f>
        <v>78719.242218408792</v>
      </c>
      <c r="W740" s="184">
        <f>SUM(S740:V740)</f>
        <v>297852.85421459936</v>
      </c>
      <c r="X740" s="186"/>
    </row>
    <row r="741" spans="1:24" s="250" customFormat="1" ht="15" customHeight="1" x14ac:dyDescent="0.2">
      <c r="A741" s="2611" t="s">
        <v>1001</v>
      </c>
      <c r="B741" s="258" t="s">
        <v>712</v>
      </c>
      <c r="C741" s="200">
        <v>3188</v>
      </c>
      <c r="D741" s="200">
        <v>3334.6480000000001</v>
      </c>
      <c r="E741" s="200">
        <v>3568.0733600000003</v>
      </c>
      <c r="F741" s="200">
        <v>3864</v>
      </c>
      <c r="G741" s="200">
        <v>4130.0364</v>
      </c>
      <c r="H741" s="259">
        <v>14896.75776</v>
      </c>
      <c r="I741" s="200">
        <v>4377.8385840000001</v>
      </c>
      <c r="J741" s="200">
        <v>4640.50889904</v>
      </c>
      <c r="K741" s="200">
        <v>4918.9394329823999</v>
      </c>
      <c r="L741" s="200">
        <v>5214.0757989613439</v>
      </c>
      <c r="M741" s="259">
        <v>19151.362714983745</v>
      </c>
      <c r="N741" s="200">
        <v>5474.7795889094114</v>
      </c>
      <c r="O741" s="200">
        <v>5748.5185683548825</v>
      </c>
      <c r="P741" s="200">
        <v>6035.9444967726267</v>
      </c>
      <c r="Q741" s="200">
        <v>6337.7417216112581</v>
      </c>
      <c r="R741" s="259">
        <v>23596.984375648179</v>
      </c>
      <c r="S741" s="200">
        <v>6591.2513904757088</v>
      </c>
      <c r="T741" s="200">
        <v>6854.9014460947374</v>
      </c>
      <c r="U741" s="200">
        <v>7129.0975039385276</v>
      </c>
      <c r="V741" s="200">
        <v>7414.2614040960689</v>
      </c>
      <c r="W741" s="166">
        <v>27989.511744605043</v>
      </c>
    </row>
    <row r="742" spans="1:24" s="250" customFormat="1" ht="15" customHeight="1" x14ac:dyDescent="0.2">
      <c r="A742" s="2612"/>
      <c r="B742" s="258" t="s">
        <v>1002</v>
      </c>
      <c r="C742" s="200">
        <v>5278</v>
      </c>
      <c r="D742" s="200">
        <v>5520.7880000000005</v>
      </c>
      <c r="E742" s="200">
        <v>5907.2431600000009</v>
      </c>
      <c r="F742" s="200">
        <v>6397</v>
      </c>
      <c r="G742" s="200">
        <v>6837.4334500000004</v>
      </c>
      <c r="H742" s="259">
        <v>24662.464610000003</v>
      </c>
      <c r="I742" s="200">
        <v>7247.6794570000011</v>
      </c>
      <c r="J742" s="200">
        <v>7682.5402244200013</v>
      </c>
      <c r="K742" s="200">
        <v>8143.4926378852015</v>
      </c>
      <c r="L742" s="200">
        <v>8632.1021961583137</v>
      </c>
      <c r="M742" s="259">
        <v>31705.814515463517</v>
      </c>
      <c r="N742" s="200">
        <v>9063.7073059662307</v>
      </c>
      <c r="O742" s="200">
        <v>9516.8926712645425</v>
      </c>
      <c r="P742" s="200">
        <v>9897.5683781151238</v>
      </c>
      <c r="Q742" s="200">
        <v>10293.47111323973</v>
      </c>
      <c r="R742" s="259">
        <v>38771.639468585628</v>
      </c>
      <c r="S742" s="200">
        <v>10705.209957769319</v>
      </c>
      <c r="T742" s="200">
        <v>11133.418356080092</v>
      </c>
      <c r="U742" s="200">
        <v>11578.755090323297</v>
      </c>
      <c r="V742" s="200">
        <v>12041.90529393623</v>
      </c>
      <c r="W742" s="166">
        <v>45459.28869810894</v>
      </c>
    </row>
    <row r="743" spans="1:24" s="250" customFormat="1" ht="15" customHeight="1" x14ac:dyDescent="0.2">
      <c r="A743" s="2612"/>
      <c r="B743" s="258" t="s">
        <v>1003</v>
      </c>
      <c r="C743" s="200">
        <v>2332</v>
      </c>
      <c r="D743" s="200">
        <v>2439.2719999999999</v>
      </c>
      <c r="E743" s="200">
        <v>2610.0210400000001</v>
      </c>
      <c r="F743" s="200">
        <v>2826</v>
      </c>
      <c r="G743" s="200">
        <v>3020.5701000000004</v>
      </c>
      <c r="H743" s="259">
        <v>10895.863140000001</v>
      </c>
      <c r="I743" s="200">
        <v>3201.8043060000005</v>
      </c>
      <c r="J743" s="200">
        <v>3393.9125643600005</v>
      </c>
      <c r="K743" s="200">
        <v>3597.5473182216006</v>
      </c>
      <c r="L743" s="200">
        <v>3813.4001573148967</v>
      </c>
      <c r="M743" s="259">
        <v>14006.664345896497</v>
      </c>
      <c r="N743" s="200">
        <v>4004.0701651806417</v>
      </c>
      <c r="O743" s="200">
        <v>4204.273673439674</v>
      </c>
      <c r="P743" s="200">
        <v>4372.4446203772613</v>
      </c>
      <c r="Q743" s="200">
        <v>4547.3424051923521</v>
      </c>
      <c r="R743" s="259">
        <v>17128.13086418993</v>
      </c>
      <c r="S743" s="200">
        <v>4729.2361014000462</v>
      </c>
      <c r="T743" s="200">
        <v>4918.4055454560485</v>
      </c>
      <c r="U743" s="200">
        <v>5115.1417672742909</v>
      </c>
      <c r="V743" s="200">
        <v>5319.7474379652631</v>
      </c>
      <c r="W743" s="166">
        <v>20082.53085209565</v>
      </c>
    </row>
    <row r="744" spans="1:24" s="250" customFormat="1" ht="15" customHeight="1" x14ac:dyDescent="0.2">
      <c r="A744" s="2612"/>
      <c r="B744" s="258" t="s">
        <v>1004</v>
      </c>
      <c r="C744" s="200">
        <v>4304</v>
      </c>
      <c r="D744" s="200">
        <v>4501.9840000000004</v>
      </c>
      <c r="E744" s="200">
        <v>4817.1228800000008</v>
      </c>
      <c r="F744" s="200">
        <v>5216</v>
      </c>
      <c r="G744" s="200">
        <v>5575.1216000000004</v>
      </c>
      <c r="H744" s="259">
        <v>20110.228480000002</v>
      </c>
      <c r="I744" s="200">
        <v>5909.6288960000011</v>
      </c>
      <c r="J744" s="200">
        <v>6264.2066297600013</v>
      </c>
      <c r="K744" s="200">
        <v>6640.0590275456016</v>
      </c>
      <c r="L744" s="200">
        <v>7038.4625691983383</v>
      </c>
      <c r="M744" s="259">
        <v>25852.357122503941</v>
      </c>
      <c r="N744" s="200">
        <v>7390.3856976582556</v>
      </c>
      <c r="O744" s="200">
        <v>7759.9049825411685</v>
      </c>
      <c r="P744" s="200">
        <v>8070.3011818428158</v>
      </c>
      <c r="Q744" s="200">
        <v>8393.1132291165286</v>
      </c>
      <c r="R744" s="259">
        <v>31613.705091158772</v>
      </c>
      <c r="S744" s="200">
        <v>8728.83775828119</v>
      </c>
      <c r="T744" s="200">
        <v>9077.9912686124371</v>
      </c>
      <c r="U744" s="200">
        <v>9441.1109193569355</v>
      </c>
      <c r="V744" s="200">
        <v>9818.7553561312125</v>
      </c>
      <c r="W744" s="166">
        <v>37066.695302381777</v>
      </c>
    </row>
    <row r="745" spans="1:24" s="224" customFormat="1" ht="12.75" x14ac:dyDescent="0.2">
      <c r="A745" s="2612"/>
      <c r="B745" s="258" t="s">
        <v>1005</v>
      </c>
      <c r="C745" s="200">
        <v>1993</v>
      </c>
      <c r="D745" s="200">
        <v>2084.6779999999999</v>
      </c>
      <c r="E745" s="200">
        <v>2230.6054600000002</v>
      </c>
      <c r="F745" s="200">
        <v>2416</v>
      </c>
      <c r="G745" s="200">
        <v>2582.3416000000002</v>
      </c>
      <c r="H745" s="259">
        <v>9313.6250600000003</v>
      </c>
      <c r="I745" s="200">
        <v>2737.2820960000004</v>
      </c>
      <c r="J745" s="200">
        <v>2901.5190217600007</v>
      </c>
      <c r="K745" s="200">
        <v>3075.6101630656008</v>
      </c>
      <c r="L745" s="200">
        <v>3260.1467728495368</v>
      </c>
      <c r="M745" s="259">
        <v>11974.558053675139</v>
      </c>
      <c r="N745" s="200">
        <v>3423.1541114920137</v>
      </c>
      <c r="O745" s="200">
        <v>3594.3118170666144</v>
      </c>
      <c r="P745" s="200">
        <v>3738.0842897492789</v>
      </c>
      <c r="Q745" s="200">
        <v>3887.6076613392502</v>
      </c>
      <c r="R745" s="259">
        <v>14643.157879647157</v>
      </c>
      <c r="S745" s="200">
        <v>4043.1119677928205</v>
      </c>
      <c r="T745" s="200">
        <v>4204.8364465045333</v>
      </c>
      <c r="U745" s="200">
        <v>4373.0299043647146</v>
      </c>
      <c r="V745" s="200">
        <v>4547.9511005393033</v>
      </c>
      <c r="W745" s="166">
        <v>17168.929419201373</v>
      </c>
    </row>
    <row r="746" spans="1:24" s="224" customFormat="1" ht="12.75" x14ac:dyDescent="0.2">
      <c r="A746" s="2612"/>
      <c r="B746" s="258" t="s">
        <v>1006</v>
      </c>
      <c r="C746" s="200">
        <v>6271</v>
      </c>
      <c r="D746" s="200">
        <v>6559.4660000000003</v>
      </c>
      <c r="E746" s="200">
        <v>7018.6286200000004</v>
      </c>
      <c r="F746" s="200">
        <v>7600</v>
      </c>
      <c r="G746" s="200">
        <v>8123.26</v>
      </c>
      <c r="H746" s="259">
        <v>29301.354619999998</v>
      </c>
      <c r="I746" s="200">
        <v>8610.6556</v>
      </c>
      <c r="J746" s="200">
        <v>9127.2949360000002</v>
      </c>
      <c r="K746" s="200">
        <v>9674.9326321600001</v>
      </c>
      <c r="L746" s="200">
        <v>10255.428590089601</v>
      </c>
      <c r="M746" s="259">
        <v>37668.311758249598</v>
      </c>
      <c r="N746" s="200">
        <v>10768.200019594082</v>
      </c>
      <c r="O746" s="200">
        <v>11306.610020573786</v>
      </c>
      <c r="P746" s="200">
        <v>11758.874421396738</v>
      </c>
      <c r="Q746" s="200">
        <v>12229.229398252608</v>
      </c>
      <c r="R746" s="259">
        <v>46062.913859817214</v>
      </c>
      <c r="S746" s="200">
        <v>12718.398574182713</v>
      </c>
      <c r="T746" s="200">
        <v>13227.134517150022</v>
      </c>
      <c r="U746" s="200">
        <v>13756.219897836023</v>
      </c>
      <c r="V746" s="200">
        <v>14306.468693749464</v>
      </c>
      <c r="W746" s="166">
        <v>54008.221682918222</v>
      </c>
    </row>
    <row r="747" spans="1:24" s="224" customFormat="1" ht="12.75" x14ac:dyDescent="0.2">
      <c r="A747" s="2613"/>
      <c r="B747" s="258" t="s">
        <v>1007</v>
      </c>
      <c r="C747" s="200">
        <v>4263</v>
      </c>
      <c r="D747" s="200">
        <v>4459.098</v>
      </c>
      <c r="E747" s="200">
        <v>4771.2348600000005</v>
      </c>
      <c r="F747" s="200">
        <v>5166</v>
      </c>
      <c r="G747" s="200">
        <v>5521.6791000000003</v>
      </c>
      <c r="H747" s="259">
        <v>19918.01196</v>
      </c>
      <c r="I747" s="200">
        <v>5852.9798460000002</v>
      </c>
      <c r="J747" s="200">
        <v>6204.1586367600003</v>
      </c>
      <c r="K747" s="200">
        <v>6576.4081549656003</v>
      </c>
      <c r="L747" s="200">
        <v>6970.9926442635369</v>
      </c>
      <c r="M747" s="259">
        <v>25604.539281989139</v>
      </c>
      <c r="N747" s="200">
        <v>7319.5422764767145</v>
      </c>
      <c r="O747" s="200">
        <v>7685.5193903005502</v>
      </c>
      <c r="P747" s="200">
        <v>7992.9401659125724</v>
      </c>
      <c r="Q747" s="200">
        <v>8312.6577725490752</v>
      </c>
      <c r="R747" s="259">
        <v>31310.65960523891</v>
      </c>
      <c r="S747" s="200">
        <v>8645.1640834510381</v>
      </c>
      <c r="T747" s="200">
        <v>8990.9706467890792</v>
      </c>
      <c r="U747" s="200">
        <v>9350.6094726606425</v>
      </c>
      <c r="V747" s="200">
        <v>9724.6338515670686</v>
      </c>
      <c r="W747" s="166">
        <v>36711.37805446783</v>
      </c>
    </row>
    <row r="748" spans="1:24" s="224" customFormat="1" ht="12.75" x14ac:dyDescent="0.2">
      <c r="A748" s="260" t="s">
        <v>1008</v>
      </c>
      <c r="B748" s="258" t="s">
        <v>712</v>
      </c>
      <c r="C748" s="200">
        <v>294</v>
      </c>
      <c r="D748" s="200">
        <v>0</v>
      </c>
      <c r="E748" s="200">
        <v>0</v>
      </c>
      <c r="F748" s="200">
        <v>321</v>
      </c>
      <c r="G748" s="200">
        <v>75</v>
      </c>
      <c r="H748" s="259">
        <v>396</v>
      </c>
      <c r="I748" s="200">
        <v>330.63</v>
      </c>
      <c r="J748" s="200">
        <v>77.25</v>
      </c>
      <c r="K748" s="200">
        <v>340.5489</v>
      </c>
      <c r="L748" s="200">
        <v>79.567499999999995</v>
      </c>
      <c r="M748" s="259">
        <v>827.99639999999999</v>
      </c>
      <c r="N748" s="200">
        <v>354.17085600000001</v>
      </c>
      <c r="O748" s="200">
        <v>82.750199999999992</v>
      </c>
      <c r="P748" s="200">
        <v>368.33769024000003</v>
      </c>
      <c r="Q748" s="200">
        <v>86.060207999999989</v>
      </c>
      <c r="R748" s="259">
        <v>891.31895424000004</v>
      </c>
      <c r="S748" s="200">
        <v>379.38782094720005</v>
      </c>
      <c r="T748" s="200">
        <v>88.642014239999995</v>
      </c>
      <c r="U748" s="200">
        <v>390.76945557561606</v>
      </c>
      <c r="V748" s="200">
        <v>91.301274667199991</v>
      </c>
      <c r="W748" s="166">
        <v>950.1005654300161</v>
      </c>
    </row>
    <row r="749" spans="1:24" s="224" customFormat="1" ht="38.25" x14ac:dyDescent="0.2">
      <c r="A749" s="260" t="s">
        <v>1009</v>
      </c>
      <c r="B749" s="258" t="s">
        <v>712</v>
      </c>
      <c r="C749" s="200">
        <v>372</v>
      </c>
      <c r="D749" s="200">
        <v>17</v>
      </c>
      <c r="E749" s="200">
        <v>0</v>
      </c>
      <c r="F749" s="200">
        <v>801</v>
      </c>
      <c r="G749" s="200">
        <v>938</v>
      </c>
      <c r="H749" s="259">
        <v>1756</v>
      </c>
      <c r="I749" s="200">
        <v>975.52</v>
      </c>
      <c r="J749" s="200">
        <v>1004.7856</v>
      </c>
      <c r="K749" s="200">
        <v>1034.9291680000001</v>
      </c>
      <c r="L749" s="200">
        <v>1065.9770430400001</v>
      </c>
      <c r="M749" s="259">
        <v>4081.2118110400006</v>
      </c>
      <c r="N749" s="200">
        <v>1108.6161247616001</v>
      </c>
      <c r="O749" s="200">
        <v>1152.9607697520642</v>
      </c>
      <c r="P749" s="200">
        <v>1199.0792005421467</v>
      </c>
      <c r="Q749" s="200">
        <v>1247.0423685638327</v>
      </c>
      <c r="R749" s="259">
        <v>4707.6984636196439</v>
      </c>
      <c r="S749" s="200">
        <v>1284.4536396207477</v>
      </c>
      <c r="T749" s="200">
        <v>1322.9872488093702</v>
      </c>
      <c r="U749" s="200">
        <v>1362.6768662736513</v>
      </c>
      <c r="V749" s="200">
        <v>1403.5571722618608</v>
      </c>
      <c r="W749" s="166">
        <v>5373.6749269656302</v>
      </c>
    </row>
    <row r="750" spans="1:24" s="224" customFormat="1" ht="38.25" x14ac:dyDescent="0.2">
      <c r="A750" s="260" t="s">
        <v>1010</v>
      </c>
      <c r="B750" s="258" t="s">
        <v>712</v>
      </c>
      <c r="C750" s="200">
        <v>503</v>
      </c>
      <c r="D750" s="200">
        <v>0</v>
      </c>
      <c r="E750" s="200">
        <v>116</v>
      </c>
      <c r="F750" s="200">
        <v>906</v>
      </c>
      <c r="G750" s="200">
        <v>301</v>
      </c>
      <c r="H750" s="259">
        <v>1323</v>
      </c>
      <c r="I750" s="200">
        <v>319.06</v>
      </c>
      <c r="J750" s="200">
        <v>338.20359999999999</v>
      </c>
      <c r="K750" s="200">
        <v>358.49581599999999</v>
      </c>
      <c r="L750" s="200">
        <v>380.00556496000002</v>
      </c>
      <c r="M750" s="259">
        <v>1395.76498096</v>
      </c>
      <c r="N750" s="200">
        <v>399.00584320800004</v>
      </c>
      <c r="O750" s="200">
        <v>418.95613536840006</v>
      </c>
      <c r="P750" s="200">
        <v>439.90394213682009</v>
      </c>
      <c r="Q750" s="200">
        <v>461.89913924366112</v>
      </c>
      <c r="R750" s="259">
        <v>1719.765059956881</v>
      </c>
      <c r="S750" s="200">
        <v>480.37510481340757</v>
      </c>
      <c r="T750" s="200">
        <v>499.59010900594387</v>
      </c>
      <c r="U750" s="200">
        <v>519.57371336618166</v>
      </c>
      <c r="V750" s="200">
        <v>540.35666190082895</v>
      </c>
      <c r="W750" s="166">
        <v>2039.8955890863622</v>
      </c>
    </row>
    <row r="751" spans="1:24" s="224" customFormat="1" ht="12.75" x14ac:dyDescent="0.2">
      <c r="A751" s="2611" t="s">
        <v>1011</v>
      </c>
      <c r="B751" s="258" t="s">
        <v>712</v>
      </c>
      <c r="C751" s="200"/>
      <c r="D751" s="200"/>
      <c r="E751" s="200"/>
      <c r="F751" s="200">
        <v>2726</v>
      </c>
      <c r="G751" s="200">
        <v>2913.6851000000001</v>
      </c>
      <c r="H751" s="259">
        <v>5639.6851000000006</v>
      </c>
      <c r="I751" s="200">
        <v>3088.5062060000005</v>
      </c>
      <c r="J751" s="200">
        <v>3273.8165783600007</v>
      </c>
      <c r="K751" s="200">
        <v>3470.2455730616007</v>
      </c>
      <c r="L751" s="200">
        <v>3678.4603074452971</v>
      </c>
      <c r="M751" s="259">
        <v>13511.028664866899</v>
      </c>
      <c r="N751" s="200">
        <v>3862.3833228175622</v>
      </c>
      <c r="O751" s="200">
        <v>4055.5024889584406</v>
      </c>
      <c r="P751" s="200">
        <v>4258.2776134063624</v>
      </c>
      <c r="Q751" s="200">
        <v>4471.191494076681</v>
      </c>
      <c r="R751" s="259">
        <v>16647.354919259047</v>
      </c>
      <c r="S751" s="200">
        <v>4650.039153839748</v>
      </c>
      <c r="T751" s="200">
        <v>4836.0407199933379</v>
      </c>
      <c r="U751" s="200">
        <v>5029.4823487930717</v>
      </c>
      <c r="V751" s="200">
        <v>5230.6616427447943</v>
      </c>
      <c r="W751" s="166">
        <v>19746.22386537095</v>
      </c>
    </row>
    <row r="752" spans="1:24" s="250" customFormat="1" ht="17.25" customHeight="1" x14ac:dyDescent="0.2">
      <c r="A752" s="2612"/>
      <c r="B752" s="258" t="s">
        <v>1002</v>
      </c>
      <c r="C752" s="200">
        <v>2249</v>
      </c>
      <c r="D752" s="200">
        <v>2352.4540000000002</v>
      </c>
      <c r="E752" s="200">
        <v>2517.1257800000003</v>
      </c>
      <c r="F752" s="171">
        <v>0</v>
      </c>
      <c r="G752" s="200">
        <v>0</v>
      </c>
      <c r="H752" s="259">
        <v>4869.57978</v>
      </c>
      <c r="I752" s="200">
        <v>0</v>
      </c>
      <c r="J752" s="200">
        <v>0</v>
      </c>
      <c r="K752" s="200">
        <v>0</v>
      </c>
      <c r="L752" s="200">
        <v>0</v>
      </c>
      <c r="M752" s="259">
        <v>0</v>
      </c>
      <c r="N752" s="200">
        <v>0</v>
      </c>
      <c r="O752" s="200">
        <v>0</v>
      </c>
      <c r="P752" s="200">
        <v>0</v>
      </c>
      <c r="Q752" s="200">
        <v>0</v>
      </c>
      <c r="R752" s="259">
        <v>0</v>
      </c>
      <c r="S752" s="200">
        <v>0</v>
      </c>
      <c r="T752" s="200">
        <v>0</v>
      </c>
      <c r="U752" s="200">
        <v>0</v>
      </c>
      <c r="V752" s="200">
        <v>0</v>
      </c>
      <c r="W752" s="166">
        <v>0</v>
      </c>
    </row>
    <row r="753" spans="1:24" s="261" customFormat="1" ht="12.75" x14ac:dyDescent="0.2">
      <c r="A753" s="2612"/>
      <c r="B753" s="258" t="s">
        <v>1003</v>
      </c>
      <c r="C753" s="200">
        <v>653</v>
      </c>
      <c r="D753" s="200">
        <v>683.03800000000001</v>
      </c>
      <c r="E753" s="200">
        <v>730.85066000000006</v>
      </c>
      <c r="F753" s="200">
        <v>791</v>
      </c>
      <c r="G753" s="200">
        <v>845.46035000000006</v>
      </c>
      <c r="H753" s="259">
        <v>3050.3490099999999</v>
      </c>
      <c r="I753" s="200">
        <v>896.18797100000006</v>
      </c>
      <c r="J753" s="200">
        <v>949.95924926000009</v>
      </c>
      <c r="K753" s="200">
        <v>1006.9568042156002</v>
      </c>
      <c r="L753" s="200">
        <v>1067.3742124685361</v>
      </c>
      <c r="M753" s="259">
        <v>3920.4782369441364</v>
      </c>
      <c r="N753" s="200">
        <v>1120.7429230919629</v>
      </c>
      <c r="O753" s="200">
        <v>1176.7800692465612</v>
      </c>
      <c r="P753" s="200">
        <v>1235.6190727088892</v>
      </c>
      <c r="Q753" s="200">
        <v>1297.4000263443338</v>
      </c>
      <c r="R753" s="259">
        <v>4830.5420913917469</v>
      </c>
      <c r="S753" s="200">
        <v>1349.2960273981073</v>
      </c>
      <c r="T753" s="200">
        <v>1403.2678684940317</v>
      </c>
      <c r="U753" s="200">
        <v>1459.398583233793</v>
      </c>
      <c r="V753" s="200">
        <v>1517.7745265631447</v>
      </c>
      <c r="W753" s="166">
        <v>5729.7370056890768</v>
      </c>
    </row>
    <row r="754" spans="1:24" s="261" customFormat="1" ht="12.75" x14ac:dyDescent="0.2">
      <c r="A754" s="2612"/>
      <c r="B754" s="258" t="s">
        <v>1004</v>
      </c>
      <c r="C754" s="200">
        <v>1344</v>
      </c>
      <c r="D754" s="200">
        <v>1405.8240000000001</v>
      </c>
      <c r="E754" s="200">
        <v>1504.2316800000001</v>
      </c>
      <c r="F754" s="200">
        <v>1629</v>
      </c>
      <c r="G754" s="200">
        <v>1741.1566500000001</v>
      </c>
      <c r="H754" s="259">
        <v>6280.2123300000003</v>
      </c>
      <c r="I754" s="200">
        <v>1845.6260490000002</v>
      </c>
      <c r="J754" s="200">
        <v>1956.3636119400003</v>
      </c>
      <c r="K754" s="200">
        <v>2073.7454286564002</v>
      </c>
      <c r="L754" s="200">
        <v>2198.1701543757845</v>
      </c>
      <c r="M754" s="259">
        <v>8073.9052439721854</v>
      </c>
      <c r="N754" s="200">
        <v>2308.0786620945737</v>
      </c>
      <c r="O754" s="200">
        <v>2423.4825951993025</v>
      </c>
      <c r="P754" s="200">
        <v>2544.6567249592676</v>
      </c>
      <c r="Q754" s="200">
        <v>2671.8895612072311</v>
      </c>
      <c r="R754" s="259">
        <v>9948.1075434603736</v>
      </c>
      <c r="S754" s="200">
        <v>2778.7651436555202</v>
      </c>
      <c r="T754" s="200">
        <v>2889.9157494017413</v>
      </c>
      <c r="U754" s="200">
        <v>3005.5123793778112</v>
      </c>
      <c r="V754" s="200">
        <v>3125.7328745529239</v>
      </c>
      <c r="W754" s="166">
        <v>11799.926146987997</v>
      </c>
    </row>
    <row r="755" spans="1:24" s="261" customFormat="1" ht="12.75" x14ac:dyDescent="0.2">
      <c r="A755" s="2612"/>
      <c r="B755" s="258" t="s">
        <v>1005</v>
      </c>
      <c r="C755" s="200">
        <v>588</v>
      </c>
      <c r="D755" s="200">
        <v>615.048</v>
      </c>
      <c r="E755" s="200">
        <v>658.10136</v>
      </c>
      <c r="F755" s="200">
        <v>713</v>
      </c>
      <c r="G755" s="200">
        <v>762.09005000000002</v>
      </c>
      <c r="H755" s="259">
        <v>2748.2394100000001</v>
      </c>
      <c r="I755" s="200">
        <v>807.81545300000005</v>
      </c>
      <c r="J755" s="200">
        <v>856.28438018000008</v>
      </c>
      <c r="K755" s="200">
        <v>907.66144299080008</v>
      </c>
      <c r="L755" s="200">
        <v>962.12112957024817</v>
      </c>
      <c r="M755" s="259">
        <v>3533.8824057410484</v>
      </c>
      <c r="N755" s="200">
        <v>1010.2271860487606</v>
      </c>
      <c r="O755" s="200">
        <v>1060.7385453511986</v>
      </c>
      <c r="P755" s="200">
        <v>1113.7754726187586</v>
      </c>
      <c r="Q755" s="200">
        <v>1169.4642462496965</v>
      </c>
      <c r="R755" s="259">
        <v>4354.2054502684141</v>
      </c>
      <c r="S755" s="200">
        <v>1216.2428160996844</v>
      </c>
      <c r="T755" s="200">
        <v>1264.8925287436718</v>
      </c>
      <c r="U755" s="200">
        <v>1315.4882298934187</v>
      </c>
      <c r="V755" s="200">
        <v>1368.1077590891555</v>
      </c>
      <c r="W755" s="166">
        <v>5164.731333825931</v>
      </c>
    </row>
    <row r="756" spans="1:24" s="261" customFormat="1" ht="12.75" x14ac:dyDescent="0.2">
      <c r="A756" s="2612"/>
      <c r="B756" s="258" t="s">
        <v>1006</v>
      </c>
      <c r="C756" s="200">
        <v>508</v>
      </c>
      <c r="D756" s="200">
        <v>531.36800000000005</v>
      </c>
      <c r="E756" s="200">
        <v>568.56376000000012</v>
      </c>
      <c r="F756" s="200">
        <v>616</v>
      </c>
      <c r="G756" s="200">
        <v>658.41160000000002</v>
      </c>
      <c r="H756" s="259">
        <v>2374.3433600000003</v>
      </c>
      <c r="I756" s="200">
        <v>697.9162960000001</v>
      </c>
      <c r="J756" s="200">
        <v>739.79127376000019</v>
      </c>
      <c r="K756" s="200">
        <v>784.17875018560028</v>
      </c>
      <c r="L756" s="200">
        <v>831.2294751967363</v>
      </c>
      <c r="M756" s="259">
        <v>3053.1157951423365</v>
      </c>
      <c r="N756" s="200">
        <v>872.79094895657317</v>
      </c>
      <c r="O756" s="200">
        <v>916.43049640440188</v>
      </c>
      <c r="P756" s="200">
        <v>962.25202122462201</v>
      </c>
      <c r="Q756" s="200">
        <v>1010.3646222858531</v>
      </c>
      <c r="R756" s="259">
        <v>3761.8380888714501</v>
      </c>
      <c r="S756" s="200">
        <v>1050.7792071772872</v>
      </c>
      <c r="T756" s="200">
        <v>1092.8103754643787</v>
      </c>
      <c r="U756" s="200">
        <v>1136.522790482954</v>
      </c>
      <c r="V756" s="200">
        <v>1181.9837021022722</v>
      </c>
      <c r="W756" s="166">
        <v>4462.096075226892</v>
      </c>
    </row>
    <row r="757" spans="1:24" s="261" customFormat="1" ht="13.5" thickBot="1" x14ac:dyDescent="0.25">
      <c r="A757" s="2614"/>
      <c r="B757" s="262" t="s">
        <v>1007</v>
      </c>
      <c r="C757" s="263">
        <v>467</v>
      </c>
      <c r="D757" s="263">
        <v>488.48200000000003</v>
      </c>
      <c r="E757" s="263">
        <v>522.67574000000002</v>
      </c>
      <c r="F757" s="263">
        <v>566</v>
      </c>
      <c r="G757" s="263">
        <v>604.96910000000003</v>
      </c>
      <c r="H757" s="264">
        <v>2182.1268399999999</v>
      </c>
      <c r="I757" s="263">
        <v>641.26724600000011</v>
      </c>
      <c r="J757" s="263">
        <v>679.74328076000018</v>
      </c>
      <c r="K757" s="263">
        <v>720.52787760560022</v>
      </c>
      <c r="L757" s="263">
        <v>763.75955026193628</v>
      </c>
      <c r="M757" s="264">
        <v>2805.2979546275365</v>
      </c>
      <c r="N757" s="263">
        <v>801.94752777503311</v>
      </c>
      <c r="O757" s="263">
        <v>842.04490416378485</v>
      </c>
      <c r="P757" s="263">
        <v>884.14714937197414</v>
      </c>
      <c r="Q757" s="263">
        <v>928.35450684057287</v>
      </c>
      <c r="R757" s="264">
        <v>3456.4940881513648</v>
      </c>
      <c r="S757" s="263">
        <v>965.48868711419584</v>
      </c>
      <c r="T757" s="263">
        <v>1004.1082345987637</v>
      </c>
      <c r="U757" s="263">
        <v>1044.2725639827142</v>
      </c>
      <c r="V757" s="263">
        <v>1086.0434665420228</v>
      </c>
      <c r="W757" s="265">
        <v>4099.9129522376961</v>
      </c>
    </row>
    <row r="758" spans="1:24" s="187" customFormat="1" ht="32.25" customHeight="1" x14ac:dyDescent="0.2">
      <c r="A758" s="183" t="s">
        <v>1012</v>
      </c>
      <c r="B758" s="184"/>
      <c r="C758" s="185">
        <f>SUM(C759:C762)</f>
        <v>2100</v>
      </c>
      <c r="D758" s="185">
        <f>SUM(D759:D762)</f>
        <v>2184</v>
      </c>
      <c r="E758" s="185">
        <f>SUM(E759:E762)</f>
        <v>2271.36</v>
      </c>
      <c r="F758" s="185">
        <f>SUM(F759:F762)</f>
        <v>2362.2144000000003</v>
      </c>
      <c r="G758" s="185">
        <f>SUM(G759:G762)</f>
        <v>2456.7029760000005</v>
      </c>
      <c r="H758" s="184">
        <f>SUM(D758:G758)</f>
        <v>9274.2773760000018</v>
      </c>
      <c r="I758" s="185">
        <f>SUM(I759:I762)</f>
        <v>2554.9710950400004</v>
      </c>
      <c r="J758" s="185">
        <f>SUM(J759:J762)</f>
        <v>2657.1699388416009</v>
      </c>
      <c r="K758" s="185">
        <f>SUM(K759:K762)</f>
        <v>2763.4567363952647</v>
      </c>
      <c r="L758" s="185">
        <f>SUM(L759:L762)</f>
        <v>2873.9950058510753</v>
      </c>
      <c r="M758" s="184">
        <f>SUM(I758:L758)</f>
        <v>10849.592776127942</v>
      </c>
      <c r="N758" s="185">
        <f>SUM(N759:N762)</f>
        <v>2988.9548060851184</v>
      </c>
      <c r="O758" s="185">
        <f>SUM(O759:O762)</f>
        <v>3108.5129983285228</v>
      </c>
      <c r="P758" s="185">
        <f>SUM(P759:P762)</f>
        <v>3232.8535182616642</v>
      </c>
      <c r="Q758" s="185">
        <f>SUM(Q759:Q762)</f>
        <v>3362.1676589921303</v>
      </c>
      <c r="R758" s="184">
        <f>SUM(N758:Q758)</f>
        <v>12692.488981667437</v>
      </c>
      <c r="S758" s="185">
        <f>SUM(S759:S762)</f>
        <v>0</v>
      </c>
      <c r="T758" s="185">
        <f>SUM(T759:T762)</f>
        <v>0</v>
      </c>
      <c r="U758" s="185">
        <f>SUM(U759:U762)</f>
        <v>0</v>
      </c>
      <c r="V758" s="185">
        <f>SUM(V759:V762)</f>
        <v>0</v>
      </c>
      <c r="W758" s="184">
        <f>SUM(S758:V758)</f>
        <v>0</v>
      </c>
      <c r="X758" s="186"/>
    </row>
    <row r="759" spans="1:24" s="119" customFormat="1" ht="24" customHeight="1" x14ac:dyDescent="0.2">
      <c r="A759" s="266" t="s">
        <v>1013</v>
      </c>
      <c r="B759" s="249"/>
      <c r="C759" s="200">
        <v>197</v>
      </c>
      <c r="D759" s="242">
        <v>204.88</v>
      </c>
      <c r="E759" s="242">
        <v>213.0752</v>
      </c>
      <c r="F759" s="242">
        <v>221.598208</v>
      </c>
      <c r="G759" s="242">
        <v>230.46213632000001</v>
      </c>
      <c r="H759" s="166">
        <v>870.01554432</v>
      </c>
      <c r="I759" s="242">
        <v>239.68062177280001</v>
      </c>
      <c r="J759" s="242">
        <v>249.26784664371201</v>
      </c>
      <c r="K759" s="242">
        <v>259.23856050946051</v>
      </c>
      <c r="L759" s="242">
        <v>269.60810292983894</v>
      </c>
      <c r="M759" s="166">
        <v>1017.7951318558114</v>
      </c>
      <c r="N759" s="242">
        <v>280.39242704703253</v>
      </c>
      <c r="O759" s="242">
        <v>291.60812412891386</v>
      </c>
      <c r="P759" s="242">
        <v>303.2724490940704</v>
      </c>
      <c r="Q759" s="242">
        <v>315.40334705783323</v>
      </c>
      <c r="R759" s="166">
        <v>1190.6763473278502</v>
      </c>
      <c r="S759" s="242"/>
      <c r="T759" s="242"/>
      <c r="U759" s="242"/>
      <c r="V759" s="242"/>
      <c r="W759" s="166">
        <v>0</v>
      </c>
    </row>
    <row r="760" spans="1:24" s="119" customFormat="1" ht="34.5" customHeight="1" x14ac:dyDescent="0.2">
      <c r="A760" s="142" t="s">
        <v>1014</v>
      </c>
      <c r="B760" s="249"/>
      <c r="C760" s="200">
        <v>971</v>
      </c>
      <c r="D760" s="242">
        <v>1009.84</v>
      </c>
      <c r="E760" s="242">
        <v>1050.2336</v>
      </c>
      <c r="F760" s="242">
        <v>1092.2429440000001</v>
      </c>
      <c r="G760" s="242">
        <v>1135.9326617600002</v>
      </c>
      <c r="H760" s="166">
        <v>4288.2492057600002</v>
      </c>
      <c r="I760" s="242">
        <v>1181.3699682304002</v>
      </c>
      <c r="J760" s="242">
        <v>1228.6247669596162</v>
      </c>
      <c r="K760" s="242">
        <v>1277.7697576380008</v>
      </c>
      <c r="L760" s="242">
        <v>1328.8805479435209</v>
      </c>
      <c r="M760" s="166">
        <v>5016.6450407715383</v>
      </c>
      <c r="N760" s="242">
        <v>1382.0357698612618</v>
      </c>
      <c r="O760" s="242">
        <v>1437.3172006557122</v>
      </c>
      <c r="P760" s="242">
        <v>1494.8098886819407</v>
      </c>
      <c r="Q760" s="242">
        <v>1554.6022842292184</v>
      </c>
      <c r="R760" s="166">
        <v>5868.7651434281333</v>
      </c>
      <c r="S760" s="242"/>
      <c r="T760" s="242"/>
      <c r="U760" s="242"/>
      <c r="V760" s="242"/>
      <c r="W760" s="166">
        <v>0</v>
      </c>
    </row>
    <row r="761" spans="1:24" s="119" customFormat="1" ht="36" customHeight="1" x14ac:dyDescent="0.2">
      <c r="A761" s="266" t="s">
        <v>1015</v>
      </c>
      <c r="B761" s="249"/>
      <c r="C761" s="200">
        <v>708</v>
      </c>
      <c r="D761" s="242">
        <v>736.32</v>
      </c>
      <c r="E761" s="242">
        <v>765.77280000000007</v>
      </c>
      <c r="F761" s="242">
        <v>796.40371200000016</v>
      </c>
      <c r="G761" s="242">
        <v>828.25986048000016</v>
      </c>
      <c r="H761" s="166">
        <v>3126.7563724800002</v>
      </c>
      <c r="I761" s="242">
        <v>861.39025489920016</v>
      </c>
      <c r="J761" s="242">
        <v>895.84586509516816</v>
      </c>
      <c r="K761" s="242">
        <v>931.6796996989749</v>
      </c>
      <c r="L761" s="242">
        <v>968.94688768693391</v>
      </c>
      <c r="M761" s="166">
        <v>3657.8627073802772</v>
      </c>
      <c r="N761" s="242">
        <v>1007.7047631944113</v>
      </c>
      <c r="O761" s="242">
        <v>1048.0129537221878</v>
      </c>
      <c r="P761" s="242">
        <v>1089.9334718710754</v>
      </c>
      <c r="Q761" s="242">
        <v>1133.5308107459184</v>
      </c>
      <c r="R761" s="166">
        <v>4279.1819995335927</v>
      </c>
      <c r="S761" s="242"/>
      <c r="T761" s="242"/>
      <c r="U761" s="242"/>
      <c r="V761" s="242"/>
      <c r="W761" s="166">
        <v>0</v>
      </c>
    </row>
    <row r="762" spans="1:24" s="136" customFormat="1" ht="25.5" x14ac:dyDescent="0.2">
      <c r="A762" s="266" t="s">
        <v>1016</v>
      </c>
      <c r="B762" s="249"/>
      <c r="C762" s="200">
        <v>224</v>
      </c>
      <c r="D762" s="242">
        <v>232.96</v>
      </c>
      <c r="E762" s="242">
        <v>242.2784</v>
      </c>
      <c r="F762" s="242">
        <v>251.96953600000001</v>
      </c>
      <c r="G762" s="242">
        <v>262.04831744000001</v>
      </c>
      <c r="H762" s="166">
        <v>989.25625344000002</v>
      </c>
      <c r="I762" s="242">
        <v>272.53025013760004</v>
      </c>
      <c r="J762" s="242">
        <v>283.43146014310406</v>
      </c>
      <c r="K762" s="242">
        <v>294.76871854882825</v>
      </c>
      <c r="L762" s="242">
        <v>306.55946729078141</v>
      </c>
      <c r="M762" s="166">
        <v>1157.2898961203136</v>
      </c>
      <c r="N762" s="242">
        <v>318.8218459824127</v>
      </c>
      <c r="O762" s="242">
        <v>331.57471982170921</v>
      </c>
      <c r="P762" s="242">
        <v>344.83770861457759</v>
      </c>
      <c r="Q762" s="242">
        <v>358.63121695916072</v>
      </c>
      <c r="R762" s="166">
        <v>1353.8654913778601</v>
      </c>
      <c r="S762" s="242"/>
      <c r="T762" s="242"/>
      <c r="U762" s="242"/>
      <c r="V762" s="242"/>
      <c r="W762" s="166">
        <v>0</v>
      </c>
    </row>
    <row r="763" spans="1:24" s="119" customFormat="1" ht="12.75" customHeight="1" x14ac:dyDescent="0.2">
      <c r="A763" s="266"/>
      <c r="B763" s="249"/>
      <c r="C763" s="242"/>
      <c r="D763" s="242"/>
      <c r="E763" s="242"/>
      <c r="F763" s="242"/>
      <c r="G763" s="242"/>
      <c r="H763" s="166">
        <v>0</v>
      </c>
      <c r="I763" s="242"/>
      <c r="J763" s="242"/>
      <c r="K763" s="242"/>
      <c r="L763" s="242"/>
      <c r="M763" s="166"/>
      <c r="N763" s="242"/>
      <c r="O763" s="242"/>
      <c r="P763" s="242"/>
      <c r="Q763" s="242"/>
      <c r="R763" s="166"/>
      <c r="S763" s="242"/>
      <c r="T763" s="242"/>
      <c r="U763" s="242"/>
      <c r="V763" s="242"/>
      <c r="W763" s="166"/>
    </row>
    <row r="764" spans="1:24" s="187" customFormat="1" ht="32.25" customHeight="1" x14ac:dyDescent="0.2">
      <c r="A764" s="183" t="s">
        <v>1017</v>
      </c>
      <c r="B764" s="184"/>
      <c r="C764" s="185">
        <f>SUM(C765:C813)</f>
        <v>2829</v>
      </c>
      <c r="D764" s="185">
        <f>SUM(D765:D813)</f>
        <v>3015.1159999999991</v>
      </c>
      <c r="E764" s="185">
        <f>SUM(E765:E813)</f>
        <v>3293.2031999999995</v>
      </c>
      <c r="F764" s="185">
        <f>SUM(F765:F813)</f>
        <v>3756</v>
      </c>
      <c r="G764" s="185">
        <f>SUM(G765:G813)</f>
        <v>4365.3999999999996</v>
      </c>
      <c r="H764" s="184">
        <f>SUM(D764:G764)</f>
        <v>14429.719199999998</v>
      </c>
      <c r="I764" s="185">
        <f>SUM(I765:I813)</f>
        <v>5861</v>
      </c>
      <c r="J764" s="185">
        <f>SUM(J765:J813)</f>
        <v>6339.3200000000015</v>
      </c>
      <c r="K764" s="185">
        <f>SUM(K765:K813)</f>
        <v>6880</v>
      </c>
      <c r="L764" s="185">
        <f>SUM(L765:L813)</f>
        <v>7992.0800000000027</v>
      </c>
      <c r="M764" s="184">
        <f>SUM(I764:L764)</f>
        <v>27072.400000000001</v>
      </c>
      <c r="N764" s="185">
        <f>SUM(N765:N813)</f>
        <v>8616.2240000000002</v>
      </c>
      <c r="O764" s="185">
        <f>SUM(O765:O813)</f>
        <v>9370.6400000000012</v>
      </c>
      <c r="P764" s="185">
        <f>SUM(P765:P813)</f>
        <v>10185</v>
      </c>
      <c r="Q764" s="185">
        <f>SUM(Q765:Q813)</f>
        <v>11013.28</v>
      </c>
      <c r="R764" s="184">
        <f>SUM(N764:Q764)</f>
        <v>39185.144</v>
      </c>
      <c r="S764" s="185">
        <f>SUM(S765:S813)</f>
        <v>11929</v>
      </c>
      <c r="T764" s="185">
        <f>SUM(T765:T813)</f>
        <v>12914</v>
      </c>
      <c r="U764" s="185">
        <f>SUM(U765:U813)</f>
        <v>14043</v>
      </c>
      <c r="V764" s="185">
        <f>SUM(V765:V813)</f>
        <v>15256</v>
      </c>
      <c r="W764" s="184">
        <f>SUM(S764:V764)</f>
        <v>54142</v>
      </c>
      <c r="X764" s="186">
        <v>42978</v>
      </c>
    </row>
    <row r="765" spans="1:24" s="261" customFormat="1" ht="12.75" x14ac:dyDescent="0.2">
      <c r="A765" s="2605" t="s">
        <v>1018</v>
      </c>
      <c r="B765" s="249" t="s">
        <v>712</v>
      </c>
      <c r="C765" s="200"/>
      <c r="D765" s="242"/>
      <c r="E765" s="242">
        <v>91</v>
      </c>
      <c r="F765" s="200">
        <v>105</v>
      </c>
      <c r="G765" s="200">
        <v>105</v>
      </c>
      <c r="H765" s="267">
        <v>301</v>
      </c>
      <c r="I765" s="200">
        <v>114</v>
      </c>
      <c r="J765" s="200">
        <v>123</v>
      </c>
      <c r="K765" s="200">
        <v>135</v>
      </c>
      <c r="L765" s="200">
        <v>147</v>
      </c>
      <c r="M765" s="267"/>
      <c r="N765" s="200">
        <v>160</v>
      </c>
      <c r="O765" s="200">
        <v>175</v>
      </c>
      <c r="P765" s="200">
        <v>191</v>
      </c>
      <c r="Q765" s="200">
        <v>191</v>
      </c>
      <c r="R765" s="267"/>
      <c r="S765" s="200">
        <v>191</v>
      </c>
      <c r="T765" s="200">
        <v>191</v>
      </c>
      <c r="U765" s="200">
        <v>208</v>
      </c>
      <c r="V765" s="200">
        <v>227</v>
      </c>
      <c r="W765" s="267"/>
    </row>
    <row r="766" spans="1:24" s="261" customFormat="1" ht="12.75" x14ac:dyDescent="0.2">
      <c r="A766" s="2606"/>
      <c r="B766" s="249" t="s">
        <v>1019</v>
      </c>
      <c r="C766" s="200">
        <v>609</v>
      </c>
      <c r="D766" s="242">
        <v>700</v>
      </c>
      <c r="E766" s="242">
        <v>671</v>
      </c>
      <c r="F766" s="200">
        <v>754</v>
      </c>
      <c r="G766" s="200">
        <v>805</v>
      </c>
      <c r="H766" s="267">
        <v>2930</v>
      </c>
      <c r="I766" s="200">
        <v>951</v>
      </c>
      <c r="J766" s="200">
        <v>1037</v>
      </c>
      <c r="K766" s="200">
        <v>1130</v>
      </c>
      <c r="L766" s="200">
        <v>1516</v>
      </c>
      <c r="M766" s="267">
        <v>4634</v>
      </c>
      <c r="N766" s="200">
        <v>1641</v>
      </c>
      <c r="O766" s="200">
        <v>1788</v>
      </c>
      <c r="P766" s="200">
        <v>1950</v>
      </c>
      <c r="Q766" s="200">
        <v>2125</v>
      </c>
      <c r="R766" s="267">
        <v>7504</v>
      </c>
      <c r="S766" s="200">
        <v>2316</v>
      </c>
      <c r="T766" s="200">
        <v>2524</v>
      </c>
      <c r="U766" s="200">
        <v>2751</v>
      </c>
      <c r="V766" s="200">
        <v>2999</v>
      </c>
      <c r="W766" s="267">
        <v>10590</v>
      </c>
    </row>
    <row r="767" spans="1:24" s="261" customFormat="1" ht="12.75" x14ac:dyDescent="0.2">
      <c r="A767" s="2606"/>
      <c r="B767" s="249" t="s">
        <v>1020</v>
      </c>
      <c r="C767" s="200">
        <v>107</v>
      </c>
      <c r="D767" s="242">
        <v>111.28</v>
      </c>
      <c r="E767" s="242">
        <v>111</v>
      </c>
      <c r="F767" s="200">
        <v>122</v>
      </c>
      <c r="G767" s="200">
        <v>147</v>
      </c>
      <c r="H767" s="267">
        <v>491.28</v>
      </c>
      <c r="I767" s="200">
        <v>146</v>
      </c>
      <c r="J767" s="200">
        <v>159</v>
      </c>
      <c r="K767" s="200">
        <v>174</v>
      </c>
      <c r="L767" s="200">
        <v>189</v>
      </c>
      <c r="M767" s="267">
        <v>668</v>
      </c>
      <c r="N767" s="200">
        <v>201</v>
      </c>
      <c r="O767" s="200">
        <v>219</v>
      </c>
      <c r="P767" s="200">
        <v>239</v>
      </c>
      <c r="Q767" s="200">
        <v>260</v>
      </c>
      <c r="R767" s="267">
        <v>919</v>
      </c>
      <c r="S767" s="200">
        <v>284</v>
      </c>
      <c r="T767" s="200">
        <v>309</v>
      </c>
      <c r="U767" s="200">
        <v>337</v>
      </c>
      <c r="V767" s="200">
        <v>367</v>
      </c>
      <c r="W767" s="267">
        <v>1297</v>
      </c>
    </row>
    <row r="768" spans="1:24" s="261" customFormat="1" ht="12.75" x14ac:dyDescent="0.2">
      <c r="A768" s="2606"/>
      <c r="B768" s="249" t="s">
        <v>1004</v>
      </c>
      <c r="C768" s="200">
        <v>209</v>
      </c>
      <c r="D768" s="242">
        <v>217.36</v>
      </c>
      <c r="E768" s="242">
        <v>351</v>
      </c>
      <c r="F768" s="200">
        <v>442</v>
      </c>
      <c r="G768" s="200">
        <v>650</v>
      </c>
      <c r="H768" s="267">
        <v>1660.3600000000001</v>
      </c>
      <c r="I768" s="200">
        <v>697</v>
      </c>
      <c r="J768" s="200">
        <v>727</v>
      </c>
      <c r="K768" s="200">
        <v>793</v>
      </c>
      <c r="L768" s="200">
        <v>864</v>
      </c>
      <c r="M768" s="267">
        <v>3081</v>
      </c>
      <c r="N768" s="200">
        <v>942</v>
      </c>
      <c r="O768" s="200">
        <v>1027</v>
      </c>
      <c r="P768" s="200">
        <v>1114</v>
      </c>
      <c r="Q768" s="200">
        <v>1215</v>
      </c>
      <c r="R768" s="267">
        <v>4298</v>
      </c>
      <c r="S768" s="200">
        <v>1324</v>
      </c>
      <c r="T768" s="200">
        <v>1443</v>
      </c>
      <c r="U768" s="200">
        <v>1573</v>
      </c>
      <c r="V768" s="200">
        <v>1715</v>
      </c>
      <c r="W768" s="267">
        <v>6055</v>
      </c>
    </row>
    <row r="769" spans="1:23" s="261" customFormat="1" ht="12.75" x14ac:dyDescent="0.2">
      <c r="A769" s="2606"/>
      <c r="B769" s="249" t="s">
        <v>1005</v>
      </c>
      <c r="C769" s="200">
        <v>0</v>
      </c>
      <c r="D769" s="242">
        <v>0</v>
      </c>
      <c r="E769" s="242">
        <v>0</v>
      </c>
      <c r="F769" s="200">
        <v>0</v>
      </c>
      <c r="G769" s="200">
        <v>0</v>
      </c>
      <c r="H769" s="267">
        <v>0</v>
      </c>
      <c r="I769" s="200">
        <v>0</v>
      </c>
      <c r="J769" s="200">
        <v>0</v>
      </c>
      <c r="K769" s="200">
        <v>0</v>
      </c>
      <c r="L769" s="200">
        <v>0</v>
      </c>
      <c r="M769" s="267">
        <v>0</v>
      </c>
      <c r="N769" s="200">
        <v>0</v>
      </c>
      <c r="O769" s="200">
        <v>0</v>
      </c>
      <c r="P769" s="200">
        <v>0</v>
      </c>
      <c r="Q769" s="200">
        <v>0</v>
      </c>
      <c r="R769" s="267">
        <v>0</v>
      </c>
      <c r="S769" s="200"/>
      <c r="T769" s="200">
        <v>0</v>
      </c>
      <c r="U769" s="200">
        <v>0</v>
      </c>
      <c r="V769" s="200">
        <v>0</v>
      </c>
      <c r="W769" s="267">
        <v>0</v>
      </c>
    </row>
    <row r="770" spans="1:23" s="261" customFormat="1" ht="12.75" x14ac:dyDescent="0.2">
      <c r="A770" s="2606"/>
      <c r="B770" s="249" t="s">
        <v>1006</v>
      </c>
      <c r="C770" s="200">
        <v>586</v>
      </c>
      <c r="D770" s="242">
        <v>609.44000000000005</v>
      </c>
      <c r="E770" s="242">
        <v>615</v>
      </c>
      <c r="F770" s="200">
        <v>668</v>
      </c>
      <c r="G770" s="200">
        <v>760</v>
      </c>
      <c r="H770" s="267">
        <v>2652.44</v>
      </c>
      <c r="I770" s="200">
        <v>805</v>
      </c>
      <c r="J770" s="200">
        <v>877</v>
      </c>
      <c r="K770" s="200">
        <v>956</v>
      </c>
      <c r="L770" s="200">
        <v>1042</v>
      </c>
      <c r="M770" s="267">
        <v>3680</v>
      </c>
      <c r="N770" s="200">
        <v>1113</v>
      </c>
      <c r="O770" s="200">
        <v>1213</v>
      </c>
      <c r="P770" s="200">
        <v>1322</v>
      </c>
      <c r="Q770" s="200">
        <v>1441</v>
      </c>
      <c r="R770" s="267">
        <v>5089</v>
      </c>
      <c r="S770" s="200">
        <v>1571</v>
      </c>
      <c r="T770" s="200">
        <v>1713</v>
      </c>
      <c r="U770" s="200">
        <v>1867</v>
      </c>
      <c r="V770" s="200">
        <v>2035</v>
      </c>
      <c r="W770" s="267">
        <v>7186</v>
      </c>
    </row>
    <row r="771" spans="1:23" s="261" customFormat="1" ht="12.75" x14ac:dyDescent="0.2">
      <c r="A771" s="2607"/>
      <c r="B771" s="249" t="s">
        <v>1007</v>
      </c>
      <c r="C771" s="200">
        <v>259</v>
      </c>
      <c r="D771" s="242">
        <v>269.36</v>
      </c>
      <c r="E771" s="242">
        <v>279</v>
      </c>
      <c r="F771" s="200">
        <v>304</v>
      </c>
      <c r="G771" s="200">
        <v>340</v>
      </c>
      <c r="H771" s="267">
        <v>1192.3600000000001</v>
      </c>
      <c r="I771" s="200">
        <v>366</v>
      </c>
      <c r="J771" s="200">
        <v>399</v>
      </c>
      <c r="K771" s="200">
        <v>435</v>
      </c>
      <c r="L771" s="200">
        <v>474</v>
      </c>
      <c r="M771" s="267">
        <v>1674</v>
      </c>
      <c r="N771" s="200">
        <v>511</v>
      </c>
      <c r="O771" s="200">
        <v>556</v>
      </c>
      <c r="P771" s="200">
        <v>607</v>
      </c>
      <c r="Q771" s="200">
        <v>661</v>
      </c>
      <c r="R771" s="267">
        <v>2335</v>
      </c>
      <c r="S771" s="200">
        <v>721</v>
      </c>
      <c r="T771" s="200">
        <v>786</v>
      </c>
      <c r="U771" s="200">
        <v>856</v>
      </c>
      <c r="V771" s="200">
        <v>934</v>
      </c>
      <c r="W771" s="267">
        <v>3297</v>
      </c>
    </row>
    <row r="772" spans="1:23" s="261" customFormat="1" ht="12.75" x14ac:dyDescent="0.2">
      <c r="A772" s="2605" t="s">
        <v>1021</v>
      </c>
      <c r="B772" s="249" t="s">
        <v>712</v>
      </c>
      <c r="C772" s="200"/>
      <c r="D772" s="242"/>
      <c r="E772" s="242">
        <v>34</v>
      </c>
      <c r="F772" s="200">
        <v>40</v>
      </c>
      <c r="G772" s="200">
        <v>60</v>
      </c>
      <c r="H772" s="267">
        <v>134</v>
      </c>
      <c r="I772" s="200">
        <v>52</v>
      </c>
      <c r="J772" s="200">
        <v>58</v>
      </c>
      <c r="K772" s="200">
        <v>63</v>
      </c>
      <c r="L772" s="200">
        <v>69</v>
      </c>
      <c r="M772" s="267">
        <v>242</v>
      </c>
      <c r="N772" s="200">
        <v>75</v>
      </c>
      <c r="O772" s="200">
        <v>82</v>
      </c>
      <c r="P772" s="200">
        <v>89</v>
      </c>
      <c r="Q772" s="200">
        <v>90</v>
      </c>
      <c r="R772" s="267">
        <v>336</v>
      </c>
      <c r="S772" s="200">
        <v>89</v>
      </c>
      <c r="T772" s="200">
        <v>90</v>
      </c>
      <c r="U772" s="200">
        <v>99</v>
      </c>
      <c r="V772" s="200">
        <v>106</v>
      </c>
      <c r="W772" s="267">
        <v>384</v>
      </c>
    </row>
    <row r="773" spans="1:23" s="261" customFormat="1" ht="12.75" x14ac:dyDescent="0.2">
      <c r="A773" s="2606"/>
      <c r="B773" s="249" t="s">
        <v>1019</v>
      </c>
      <c r="C773" s="200">
        <v>236</v>
      </c>
      <c r="D773" s="242">
        <v>260</v>
      </c>
      <c r="E773" s="242">
        <v>256</v>
      </c>
      <c r="F773" s="200">
        <v>284</v>
      </c>
      <c r="G773" s="200">
        <v>320</v>
      </c>
      <c r="H773" s="267">
        <v>1120</v>
      </c>
      <c r="I773" s="200">
        <v>363</v>
      </c>
      <c r="J773" s="200">
        <v>395</v>
      </c>
      <c r="K773" s="200">
        <v>431</v>
      </c>
      <c r="L773" s="200">
        <v>578</v>
      </c>
      <c r="M773" s="267">
        <v>1767</v>
      </c>
      <c r="N773" s="200">
        <v>630</v>
      </c>
      <c r="O773" s="200">
        <v>687</v>
      </c>
      <c r="P773" s="200">
        <v>749</v>
      </c>
      <c r="Q773" s="200">
        <v>816</v>
      </c>
      <c r="R773" s="267">
        <v>2882</v>
      </c>
      <c r="S773" s="200">
        <v>890</v>
      </c>
      <c r="T773" s="200">
        <v>970</v>
      </c>
      <c r="U773" s="200">
        <v>1057</v>
      </c>
      <c r="V773" s="200">
        <v>1152</v>
      </c>
      <c r="W773" s="267">
        <v>4069</v>
      </c>
    </row>
    <row r="774" spans="1:23" s="261" customFormat="1" ht="12.75" x14ac:dyDescent="0.2">
      <c r="A774" s="2606"/>
      <c r="B774" s="249" t="s">
        <v>1020</v>
      </c>
      <c r="C774" s="200">
        <v>42</v>
      </c>
      <c r="D774" s="242">
        <v>43.68</v>
      </c>
      <c r="E774" s="242">
        <v>42</v>
      </c>
      <c r="F774" s="200">
        <v>47</v>
      </c>
      <c r="G774" s="200">
        <v>55</v>
      </c>
      <c r="H774" s="267">
        <v>187.68</v>
      </c>
      <c r="I774" s="200">
        <v>56</v>
      </c>
      <c r="J774" s="200">
        <v>61</v>
      </c>
      <c r="K774" s="200">
        <v>66</v>
      </c>
      <c r="L774" s="200">
        <v>72</v>
      </c>
      <c r="M774" s="267">
        <v>255</v>
      </c>
      <c r="N774" s="200">
        <v>79</v>
      </c>
      <c r="O774" s="200">
        <v>86</v>
      </c>
      <c r="P774" s="200">
        <v>94</v>
      </c>
      <c r="Q774" s="200">
        <v>102</v>
      </c>
      <c r="R774" s="267">
        <v>361</v>
      </c>
      <c r="S774" s="200">
        <v>111</v>
      </c>
      <c r="T774" s="200">
        <v>122</v>
      </c>
      <c r="U774" s="200">
        <v>132</v>
      </c>
      <c r="V774" s="200">
        <v>144</v>
      </c>
      <c r="W774" s="267">
        <v>509</v>
      </c>
    </row>
    <row r="775" spans="1:23" s="261" customFormat="1" ht="12.75" x14ac:dyDescent="0.2">
      <c r="A775" s="2606"/>
      <c r="B775" s="249" t="s">
        <v>1004</v>
      </c>
      <c r="C775" s="200">
        <v>81</v>
      </c>
      <c r="D775" s="242">
        <v>84.240000000000009</v>
      </c>
      <c r="E775" s="242">
        <v>130</v>
      </c>
      <c r="F775" s="200">
        <v>164</v>
      </c>
      <c r="G775" s="200">
        <v>230</v>
      </c>
      <c r="H775" s="267">
        <v>608.24</v>
      </c>
      <c r="I775" s="200">
        <v>250</v>
      </c>
      <c r="J775" s="200">
        <v>273</v>
      </c>
      <c r="K775" s="200">
        <v>298</v>
      </c>
      <c r="L775" s="200">
        <v>325</v>
      </c>
      <c r="M775" s="267">
        <v>1146</v>
      </c>
      <c r="N775" s="200">
        <v>334</v>
      </c>
      <c r="O775" s="200">
        <v>364</v>
      </c>
      <c r="P775" s="200">
        <v>397</v>
      </c>
      <c r="Q775" s="200">
        <v>433</v>
      </c>
      <c r="R775" s="267">
        <v>1528</v>
      </c>
      <c r="S775" s="200">
        <v>471</v>
      </c>
      <c r="T775" s="200">
        <v>514</v>
      </c>
      <c r="U775" s="200">
        <v>560</v>
      </c>
      <c r="V775" s="200">
        <v>612</v>
      </c>
      <c r="W775" s="267">
        <v>2157</v>
      </c>
    </row>
    <row r="776" spans="1:23" s="261" customFormat="1" ht="12.75" x14ac:dyDescent="0.2">
      <c r="A776" s="2606"/>
      <c r="B776" s="249" t="s">
        <v>1005</v>
      </c>
      <c r="C776" s="200"/>
      <c r="D776" s="242">
        <v>0</v>
      </c>
      <c r="E776" s="242">
        <v>0</v>
      </c>
      <c r="F776" s="200">
        <v>0</v>
      </c>
      <c r="G776" s="200">
        <v>0</v>
      </c>
      <c r="H776" s="267">
        <v>0</v>
      </c>
      <c r="I776" s="200">
        <v>0</v>
      </c>
      <c r="J776" s="200">
        <v>0</v>
      </c>
      <c r="K776" s="200">
        <v>0</v>
      </c>
      <c r="L776" s="200">
        <v>0</v>
      </c>
      <c r="M776" s="267">
        <v>0</v>
      </c>
      <c r="N776" s="200">
        <v>0</v>
      </c>
      <c r="O776" s="200">
        <v>0</v>
      </c>
      <c r="P776" s="200">
        <v>0</v>
      </c>
      <c r="Q776" s="200">
        <v>0</v>
      </c>
      <c r="R776" s="267">
        <v>0</v>
      </c>
      <c r="S776" s="200">
        <v>0</v>
      </c>
      <c r="T776" s="200">
        <v>0</v>
      </c>
      <c r="U776" s="200">
        <v>0</v>
      </c>
      <c r="V776" s="200">
        <v>0</v>
      </c>
      <c r="W776" s="267">
        <v>0</v>
      </c>
    </row>
    <row r="777" spans="1:23" s="261" customFormat="1" ht="12.75" x14ac:dyDescent="0.2">
      <c r="A777" s="2606"/>
      <c r="B777" s="249" t="s">
        <v>1006</v>
      </c>
      <c r="C777" s="200">
        <v>228</v>
      </c>
      <c r="D777" s="242">
        <v>237.12</v>
      </c>
      <c r="E777" s="242">
        <v>234</v>
      </c>
      <c r="F777" s="200">
        <v>254</v>
      </c>
      <c r="G777" s="200">
        <v>300</v>
      </c>
      <c r="H777" s="267">
        <v>1025.1199999999999</v>
      </c>
      <c r="I777" s="200">
        <v>307</v>
      </c>
      <c r="J777" s="200">
        <v>335</v>
      </c>
      <c r="K777" s="200">
        <v>365</v>
      </c>
      <c r="L777" s="200">
        <v>397</v>
      </c>
      <c r="M777" s="267">
        <v>1404</v>
      </c>
      <c r="N777" s="200">
        <v>433</v>
      </c>
      <c r="O777" s="200">
        <v>472</v>
      </c>
      <c r="P777" s="200">
        <v>515</v>
      </c>
      <c r="Q777" s="200">
        <v>561</v>
      </c>
      <c r="R777" s="267">
        <v>1981</v>
      </c>
      <c r="S777" s="200">
        <v>612</v>
      </c>
      <c r="T777" s="200">
        <v>666</v>
      </c>
      <c r="U777" s="200">
        <v>727</v>
      </c>
      <c r="V777" s="200">
        <v>792</v>
      </c>
      <c r="W777" s="267">
        <v>2797</v>
      </c>
    </row>
    <row r="778" spans="1:23" s="261" customFormat="1" ht="12.75" x14ac:dyDescent="0.2">
      <c r="A778" s="2607"/>
      <c r="B778" s="249" t="s">
        <v>1007</v>
      </c>
      <c r="C778" s="200">
        <v>102</v>
      </c>
      <c r="D778" s="242">
        <v>106.08</v>
      </c>
      <c r="E778" s="242">
        <v>106</v>
      </c>
      <c r="F778" s="200">
        <v>115</v>
      </c>
      <c r="G778" s="200">
        <v>150</v>
      </c>
      <c r="H778" s="267">
        <v>477.08</v>
      </c>
      <c r="I778" s="200">
        <v>140</v>
      </c>
      <c r="J778" s="200">
        <v>152</v>
      </c>
      <c r="K778" s="200">
        <v>166</v>
      </c>
      <c r="L778" s="200">
        <v>181</v>
      </c>
      <c r="M778" s="267">
        <v>639</v>
      </c>
      <c r="N778" s="200">
        <v>196</v>
      </c>
      <c r="O778" s="200">
        <v>214</v>
      </c>
      <c r="P778" s="200">
        <v>234</v>
      </c>
      <c r="Q778" s="200">
        <v>255</v>
      </c>
      <c r="R778" s="267">
        <v>899</v>
      </c>
      <c r="S778" s="200">
        <v>278</v>
      </c>
      <c r="T778" s="200">
        <v>303</v>
      </c>
      <c r="U778" s="200">
        <v>330</v>
      </c>
      <c r="V778" s="200">
        <v>360</v>
      </c>
      <c r="W778" s="267">
        <v>1271</v>
      </c>
    </row>
    <row r="779" spans="1:23" s="261" customFormat="1" ht="12.75" customHeight="1" x14ac:dyDescent="0.2">
      <c r="A779" s="2608" t="s">
        <v>1022</v>
      </c>
      <c r="B779" s="249" t="s">
        <v>712</v>
      </c>
      <c r="C779" s="200"/>
      <c r="D779" s="242"/>
      <c r="E779" s="242"/>
      <c r="F779" s="200">
        <v>0</v>
      </c>
      <c r="G779" s="200">
        <v>0</v>
      </c>
      <c r="H779" s="267">
        <v>0</v>
      </c>
      <c r="I779" s="200">
        <v>52</v>
      </c>
      <c r="J779" s="200">
        <v>58</v>
      </c>
      <c r="K779" s="200">
        <v>63</v>
      </c>
      <c r="L779" s="200">
        <v>70</v>
      </c>
      <c r="M779" s="267">
        <v>243</v>
      </c>
      <c r="N779" s="200">
        <v>76</v>
      </c>
      <c r="O779" s="200">
        <v>82</v>
      </c>
      <c r="P779" s="200">
        <v>89</v>
      </c>
      <c r="Q779" s="200">
        <v>89</v>
      </c>
      <c r="R779" s="267">
        <v>336</v>
      </c>
      <c r="S779" s="200">
        <v>90</v>
      </c>
      <c r="T779" s="200">
        <v>90</v>
      </c>
      <c r="U779" s="200">
        <v>97</v>
      </c>
      <c r="V779" s="200">
        <v>106</v>
      </c>
      <c r="W779" s="267">
        <v>383</v>
      </c>
    </row>
    <row r="780" spans="1:23" s="261" customFormat="1" ht="10.15" customHeight="1" x14ac:dyDescent="0.2">
      <c r="A780" s="2609"/>
      <c r="B780" s="249" t="s">
        <v>1019</v>
      </c>
      <c r="C780" s="200"/>
      <c r="D780" s="242"/>
      <c r="E780" s="242"/>
      <c r="F780" s="200">
        <v>0</v>
      </c>
      <c r="G780" s="200">
        <v>0</v>
      </c>
      <c r="H780" s="267">
        <v>0</v>
      </c>
      <c r="I780" s="200">
        <v>363</v>
      </c>
      <c r="J780" s="200">
        <v>396</v>
      </c>
      <c r="K780" s="200">
        <v>431</v>
      </c>
      <c r="L780" s="200">
        <v>578</v>
      </c>
      <c r="M780" s="267">
        <v>1768</v>
      </c>
      <c r="N780" s="200">
        <v>630</v>
      </c>
      <c r="O780" s="200">
        <v>686</v>
      </c>
      <c r="P780" s="200">
        <v>749</v>
      </c>
      <c r="Q780" s="200">
        <v>816</v>
      </c>
      <c r="R780" s="267">
        <v>2881</v>
      </c>
      <c r="S780" s="200">
        <v>890</v>
      </c>
      <c r="T780" s="200">
        <v>970</v>
      </c>
      <c r="U780" s="200">
        <v>1057</v>
      </c>
      <c r="V780" s="200">
        <v>1152</v>
      </c>
      <c r="W780" s="267">
        <v>4069</v>
      </c>
    </row>
    <row r="781" spans="1:23" s="261" customFormat="1" ht="10.15" customHeight="1" x14ac:dyDescent="0.2">
      <c r="A781" s="2609"/>
      <c r="B781" s="249" t="s">
        <v>1020</v>
      </c>
      <c r="C781" s="200"/>
      <c r="D781" s="242"/>
      <c r="E781" s="242"/>
      <c r="F781" s="200">
        <v>0</v>
      </c>
      <c r="G781" s="200">
        <v>0</v>
      </c>
      <c r="H781" s="267">
        <v>0</v>
      </c>
      <c r="I781" s="200">
        <v>57</v>
      </c>
      <c r="J781" s="200">
        <v>61</v>
      </c>
      <c r="K781" s="200">
        <v>66</v>
      </c>
      <c r="L781" s="200">
        <v>73</v>
      </c>
      <c r="M781" s="267">
        <v>257</v>
      </c>
      <c r="N781" s="200">
        <v>79</v>
      </c>
      <c r="O781" s="200">
        <v>86</v>
      </c>
      <c r="P781" s="200">
        <v>93</v>
      </c>
      <c r="Q781" s="200">
        <v>102</v>
      </c>
      <c r="R781" s="267">
        <v>360</v>
      </c>
      <c r="S781" s="200">
        <v>111</v>
      </c>
      <c r="T781" s="200">
        <v>121</v>
      </c>
      <c r="U781" s="200">
        <v>132</v>
      </c>
      <c r="V781" s="200">
        <v>144</v>
      </c>
      <c r="W781" s="267">
        <v>508</v>
      </c>
    </row>
    <row r="782" spans="1:23" s="261" customFormat="1" ht="10.15" customHeight="1" x14ac:dyDescent="0.2">
      <c r="A782" s="2609"/>
      <c r="B782" s="249" t="s">
        <v>1004</v>
      </c>
      <c r="C782" s="200"/>
      <c r="D782" s="242"/>
      <c r="E782" s="242"/>
      <c r="F782" s="200">
        <v>0</v>
      </c>
      <c r="G782" s="200">
        <v>0</v>
      </c>
      <c r="H782" s="267">
        <v>0</v>
      </c>
      <c r="I782" s="200">
        <v>250</v>
      </c>
      <c r="J782" s="200">
        <v>273</v>
      </c>
      <c r="K782" s="200">
        <v>298</v>
      </c>
      <c r="L782" s="200">
        <v>324</v>
      </c>
      <c r="M782" s="267">
        <v>1145</v>
      </c>
      <c r="N782" s="200">
        <v>334</v>
      </c>
      <c r="O782" s="200">
        <v>364</v>
      </c>
      <c r="P782" s="200">
        <v>397</v>
      </c>
      <c r="Q782" s="200">
        <v>432</v>
      </c>
      <c r="R782" s="267">
        <v>1527</v>
      </c>
      <c r="S782" s="200">
        <v>472</v>
      </c>
      <c r="T782" s="200">
        <v>514</v>
      </c>
      <c r="U782" s="200">
        <v>560</v>
      </c>
      <c r="V782" s="200">
        <v>610</v>
      </c>
      <c r="W782" s="267">
        <v>2156</v>
      </c>
    </row>
    <row r="783" spans="1:23" s="261" customFormat="1" ht="10.15" customHeight="1" x14ac:dyDescent="0.2">
      <c r="A783" s="2609"/>
      <c r="B783" s="249" t="s">
        <v>1005</v>
      </c>
      <c r="C783" s="200"/>
      <c r="D783" s="242"/>
      <c r="E783" s="242"/>
      <c r="F783" s="200">
        <v>0</v>
      </c>
      <c r="G783" s="200">
        <v>0</v>
      </c>
      <c r="H783" s="267">
        <v>0</v>
      </c>
      <c r="I783" s="200">
        <v>0</v>
      </c>
      <c r="J783" s="200"/>
      <c r="K783" s="200"/>
      <c r="L783" s="200"/>
      <c r="M783" s="267">
        <v>0</v>
      </c>
      <c r="N783" s="200"/>
      <c r="O783" s="200"/>
      <c r="P783" s="200"/>
      <c r="Q783" s="200"/>
      <c r="R783" s="267">
        <v>0</v>
      </c>
      <c r="S783" s="200"/>
      <c r="T783" s="200">
        <v>0</v>
      </c>
      <c r="U783" s="200">
        <v>0</v>
      </c>
      <c r="V783" s="200">
        <v>0</v>
      </c>
      <c r="W783" s="267">
        <v>0</v>
      </c>
    </row>
    <row r="784" spans="1:23" s="261" customFormat="1" ht="10.15" customHeight="1" x14ac:dyDescent="0.2">
      <c r="A784" s="2609"/>
      <c r="B784" s="249" t="s">
        <v>1006</v>
      </c>
      <c r="C784" s="200"/>
      <c r="D784" s="242"/>
      <c r="E784" s="242"/>
      <c r="F784" s="200">
        <v>0</v>
      </c>
      <c r="G784" s="200">
        <v>0</v>
      </c>
      <c r="H784" s="267">
        <v>0</v>
      </c>
      <c r="I784" s="200">
        <v>307</v>
      </c>
      <c r="J784" s="200">
        <v>335</v>
      </c>
      <c r="K784" s="200">
        <v>365</v>
      </c>
      <c r="L784" s="200">
        <v>398</v>
      </c>
      <c r="M784" s="267">
        <v>1405</v>
      </c>
      <c r="N784" s="200">
        <v>433</v>
      </c>
      <c r="O784" s="200">
        <v>472</v>
      </c>
      <c r="P784" s="200">
        <v>515</v>
      </c>
      <c r="Q784" s="200">
        <v>561</v>
      </c>
      <c r="R784" s="267">
        <v>1981</v>
      </c>
      <c r="S784" s="200">
        <v>612</v>
      </c>
      <c r="T784" s="200">
        <v>666</v>
      </c>
      <c r="U784" s="200">
        <v>726</v>
      </c>
      <c r="V784" s="200">
        <v>792</v>
      </c>
      <c r="W784" s="267">
        <v>2796</v>
      </c>
    </row>
    <row r="785" spans="1:23" s="261" customFormat="1" ht="10.15" customHeight="1" x14ac:dyDescent="0.2">
      <c r="A785" s="2610"/>
      <c r="B785" s="249" t="s">
        <v>1007</v>
      </c>
      <c r="C785" s="200"/>
      <c r="D785" s="242"/>
      <c r="E785" s="242"/>
      <c r="F785" s="200">
        <v>0</v>
      </c>
      <c r="G785" s="200">
        <v>0</v>
      </c>
      <c r="H785" s="267">
        <v>0</v>
      </c>
      <c r="I785" s="200">
        <v>140</v>
      </c>
      <c r="J785" s="200">
        <v>152</v>
      </c>
      <c r="K785" s="200">
        <v>166</v>
      </c>
      <c r="L785" s="200">
        <v>183</v>
      </c>
      <c r="M785" s="267">
        <v>641</v>
      </c>
      <c r="N785" s="200">
        <v>197</v>
      </c>
      <c r="O785" s="200">
        <v>215</v>
      </c>
      <c r="P785" s="200">
        <v>234</v>
      </c>
      <c r="Q785" s="200">
        <v>255</v>
      </c>
      <c r="R785" s="267">
        <v>901</v>
      </c>
      <c r="S785" s="200">
        <v>278</v>
      </c>
      <c r="T785" s="200">
        <v>303</v>
      </c>
      <c r="U785" s="200">
        <v>332</v>
      </c>
      <c r="V785" s="200">
        <v>360</v>
      </c>
      <c r="W785" s="267">
        <v>1273</v>
      </c>
    </row>
    <row r="786" spans="1:23" s="261" customFormat="1" ht="10.15" customHeight="1" x14ac:dyDescent="0.2">
      <c r="A786" s="2605" t="s">
        <v>1023</v>
      </c>
      <c r="B786" s="249" t="s">
        <v>712</v>
      </c>
      <c r="C786" s="200">
        <v>54</v>
      </c>
      <c r="D786" s="242">
        <v>54.216000000000001</v>
      </c>
      <c r="E786" s="242">
        <v>80</v>
      </c>
      <c r="F786" s="200">
        <v>0</v>
      </c>
      <c r="G786" s="200">
        <v>0</v>
      </c>
      <c r="H786" s="267">
        <v>134.21600000000001</v>
      </c>
      <c r="I786" s="200">
        <v>0</v>
      </c>
      <c r="J786" s="200">
        <v>0</v>
      </c>
      <c r="K786" s="200">
        <v>0</v>
      </c>
      <c r="L786" s="200">
        <v>0</v>
      </c>
      <c r="M786" s="267">
        <v>0</v>
      </c>
      <c r="N786" s="200">
        <v>0</v>
      </c>
      <c r="O786" s="200">
        <v>0</v>
      </c>
      <c r="P786" s="200">
        <v>0</v>
      </c>
      <c r="Q786" s="200">
        <v>0</v>
      </c>
      <c r="R786" s="267">
        <v>0</v>
      </c>
      <c r="S786" s="200">
        <v>0</v>
      </c>
      <c r="T786" s="200">
        <v>0</v>
      </c>
      <c r="U786" s="200">
        <v>0</v>
      </c>
      <c r="V786" s="200">
        <v>0</v>
      </c>
      <c r="W786" s="267">
        <v>0</v>
      </c>
    </row>
    <row r="787" spans="1:23" s="261" customFormat="1" ht="10.15" customHeight="1" x14ac:dyDescent="0.2">
      <c r="A787" s="2606"/>
      <c r="B787" s="249" t="s">
        <v>1019</v>
      </c>
      <c r="C787" s="200"/>
      <c r="D787" s="242"/>
      <c r="E787" s="242">
        <v>0</v>
      </c>
      <c r="F787" s="200">
        <v>20</v>
      </c>
      <c r="G787" s="200">
        <v>30</v>
      </c>
      <c r="H787" s="267">
        <v>50</v>
      </c>
      <c r="I787" s="200">
        <v>40</v>
      </c>
      <c r="J787" s="200">
        <v>41.6</v>
      </c>
      <c r="K787" s="200">
        <v>42</v>
      </c>
      <c r="L787" s="200">
        <v>43.68</v>
      </c>
      <c r="M787" s="267">
        <v>167.28</v>
      </c>
      <c r="N787" s="200">
        <v>46</v>
      </c>
      <c r="O787" s="200">
        <v>49</v>
      </c>
      <c r="P787" s="200">
        <v>53</v>
      </c>
      <c r="Q787" s="200">
        <v>53</v>
      </c>
      <c r="R787" s="267">
        <v>201</v>
      </c>
      <c r="S787" s="200">
        <v>53</v>
      </c>
      <c r="T787" s="200">
        <v>53</v>
      </c>
      <c r="U787" s="200">
        <v>55</v>
      </c>
      <c r="V787" s="200">
        <v>57</v>
      </c>
      <c r="W787" s="267">
        <v>218</v>
      </c>
    </row>
    <row r="788" spans="1:23" s="261" customFormat="1" ht="10.15" customHeight="1" x14ac:dyDescent="0.2">
      <c r="A788" s="2606"/>
      <c r="B788" s="249" t="s">
        <v>1020</v>
      </c>
      <c r="C788" s="200"/>
      <c r="D788" s="242"/>
      <c r="E788" s="242">
        <v>0</v>
      </c>
      <c r="F788" s="200">
        <v>10</v>
      </c>
      <c r="G788" s="200">
        <v>10.4</v>
      </c>
      <c r="H788" s="267">
        <v>20.399999999999999</v>
      </c>
      <c r="I788" s="200">
        <v>15</v>
      </c>
      <c r="J788" s="200">
        <v>15.600000000000001</v>
      </c>
      <c r="K788" s="200">
        <v>15</v>
      </c>
      <c r="L788" s="200">
        <v>15.600000000000001</v>
      </c>
      <c r="M788" s="267">
        <v>61.2</v>
      </c>
      <c r="N788" s="242">
        <v>16.224000000000004</v>
      </c>
      <c r="O788" s="242">
        <v>18</v>
      </c>
      <c r="P788" s="242">
        <v>20</v>
      </c>
      <c r="Q788" s="242">
        <v>20</v>
      </c>
      <c r="R788" s="267">
        <v>74.224000000000004</v>
      </c>
      <c r="S788" s="200">
        <v>20</v>
      </c>
      <c r="T788" s="200">
        <v>20</v>
      </c>
      <c r="U788" s="200">
        <v>23</v>
      </c>
      <c r="V788" s="200">
        <v>25</v>
      </c>
      <c r="W788" s="267">
        <v>88</v>
      </c>
    </row>
    <row r="789" spans="1:23" s="261" customFormat="1" ht="20.45" customHeight="1" x14ac:dyDescent="0.2">
      <c r="A789" s="2606"/>
      <c r="B789" s="249" t="s">
        <v>1004</v>
      </c>
      <c r="C789" s="200">
        <v>2</v>
      </c>
      <c r="D789" s="242">
        <v>2.008</v>
      </c>
      <c r="E789" s="242"/>
      <c r="F789" s="200">
        <v>15</v>
      </c>
      <c r="G789" s="200">
        <v>15</v>
      </c>
      <c r="H789" s="267">
        <v>32.007999999999996</v>
      </c>
      <c r="I789" s="200">
        <v>15</v>
      </c>
      <c r="J789" s="200">
        <v>15.600000000000001</v>
      </c>
      <c r="K789" s="200">
        <v>15</v>
      </c>
      <c r="L789" s="200">
        <v>15.600000000000001</v>
      </c>
      <c r="M789" s="267">
        <v>61.2</v>
      </c>
      <c r="N789" s="242">
        <v>17</v>
      </c>
      <c r="O789" s="242">
        <v>19</v>
      </c>
      <c r="P789" s="242">
        <v>19</v>
      </c>
      <c r="Q789" s="242">
        <v>19</v>
      </c>
      <c r="R789" s="267">
        <v>74</v>
      </c>
      <c r="S789" s="242">
        <v>19</v>
      </c>
      <c r="T789" s="242">
        <v>19</v>
      </c>
      <c r="U789" s="242">
        <v>20</v>
      </c>
      <c r="V789" s="242">
        <v>22</v>
      </c>
      <c r="W789" s="267">
        <v>80</v>
      </c>
    </row>
    <row r="790" spans="1:23" s="261" customFormat="1" ht="10.15" customHeight="1" x14ac:dyDescent="0.2">
      <c r="A790" s="2606"/>
      <c r="B790" s="249" t="s">
        <v>1005</v>
      </c>
      <c r="C790" s="200"/>
      <c r="D790" s="242"/>
      <c r="E790" s="242">
        <v>0</v>
      </c>
      <c r="F790" s="200">
        <v>0</v>
      </c>
      <c r="G790" s="200">
        <v>0</v>
      </c>
      <c r="H790" s="267">
        <v>0</v>
      </c>
      <c r="I790" s="200">
        <v>0</v>
      </c>
      <c r="J790" s="200">
        <v>0</v>
      </c>
      <c r="K790" s="200">
        <v>0</v>
      </c>
      <c r="L790" s="200">
        <v>0</v>
      </c>
      <c r="M790" s="267">
        <v>0</v>
      </c>
      <c r="N790" s="242">
        <v>0</v>
      </c>
      <c r="O790" s="242">
        <v>0</v>
      </c>
      <c r="P790" s="242">
        <v>0</v>
      </c>
      <c r="Q790" s="242">
        <v>0</v>
      </c>
      <c r="R790" s="267">
        <v>0</v>
      </c>
      <c r="S790" s="242">
        <v>0</v>
      </c>
      <c r="T790" s="242">
        <v>0</v>
      </c>
      <c r="U790" s="242">
        <v>0</v>
      </c>
      <c r="V790" s="242">
        <v>0</v>
      </c>
      <c r="W790" s="267">
        <v>0</v>
      </c>
    </row>
    <row r="791" spans="1:23" s="261" customFormat="1" ht="10.15" customHeight="1" x14ac:dyDescent="0.2">
      <c r="A791" s="2606"/>
      <c r="B791" s="249" t="s">
        <v>1006</v>
      </c>
      <c r="C791" s="200"/>
      <c r="D791" s="242"/>
      <c r="E791" s="242">
        <v>0</v>
      </c>
      <c r="F791" s="200">
        <v>20</v>
      </c>
      <c r="G791" s="200">
        <v>20</v>
      </c>
      <c r="H791" s="267">
        <v>40</v>
      </c>
      <c r="I791" s="200">
        <v>13</v>
      </c>
      <c r="J791" s="200">
        <v>13.52</v>
      </c>
      <c r="K791" s="200">
        <v>15</v>
      </c>
      <c r="L791" s="200">
        <v>15.600000000000001</v>
      </c>
      <c r="M791" s="267">
        <v>57.12</v>
      </c>
      <c r="N791" s="242">
        <v>17</v>
      </c>
      <c r="O791" s="242">
        <v>17.68</v>
      </c>
      <c r="P791" s="242">
        <v>20</v>
      </c>
      <c r="Q791" s="242">
        <v>20</v>
      </c>
      <c r="R791" s="267">
        <v>74.680000000000007</v>
      </c>
      <c r="S791" s="242">
        <v>20</v>
      </c>
      <c r="T791" s="242">
        <v>20</v>
      </c>
      <c r="U791" s="242">
        <v>22</v>
      </c>
      <c r="V791" s="242">
        <v>23</v>
      </c>
      <c r="W791" s="267">
        <v>85</v>
      </c>
    </row>
    <row r="792" spans="1:23" s="261" customFormat="1" ht="10.15" customHeight="1" x14ac:dyDescent="0.2">
      <c r="A792" s="2607"/>
      <c r="B792" s="249" t="s">
        <v>1007</v>
      </c>
      <c r="C792" s="200"/>
      <c r="D792" s="242"/>
      <c r="E792" s="242">
        <v>0</v>
      </c>
      <c r="F792" s="200">
        <v>15</v>
      </c>
      <c r="G792" s="200">
        <v>15</v>
      </c>
      <c r="H792" s="267">
        <v>30</v>
      </c>
      <c r="I792" s="200">
        <v>12</v>
      </c>
      <c r="J792" s="200">
        <v>12</v>
      </c>
      <c r="K792" s="200">
        <v>13</v>
      </c>
      <c r="L792" s="200">
        <v>13.52</v>
      </c>
      <c r="M792" s="267">
        <v>50.519999999999996</v>
      </c>
      <c r="N792" s="242">
        <v>16</v>
      </c>
      <c r="O792" s="242">
        <v>18</v>
      </c>
      <c r="P792" s="242">
        <v>20</v>
      </c>
      <c r="Q792" s="242">
        <v>20</v>
      </c>
      <c r="R792" s="267">
        <v>74</v>
      </c>
      <c r="S792" s="242">
        <v>20</v>
      </c>
      <c r="T792" s="242">
        <v>20</v>
      </c>
      <c r="U792" s="242">
        <v>21</v>
      </c>
      <c r="V792" s="242">
        <v>22</v>
      </c>
      <c r="W792" s="267">
        <v>83</v>
      </c>
    </row>
    <row r="793" spans="1:23" s="261" customFormat="1" ht="10.15" customHeight="1" x14ac:dyDescent="0.2">
      <c r="A793" s="2605" t="s">
        <v>1024</v>
      </c>
      <c r="B793" s="249" t="s">
        <v>712</v>
      </c>
      <c r="C793" s="200">
        <v>173</v>
      </c>
      <c r="D793" s="242">
        <v>173.69200000000001</v>
      </c>
      <c r="E793" s="242">
        <v>154</v>
      </c>
      <c r="F793" s="200">
        <v>223</v>
      </c>
      <c r="G793" s="200">
        <v>160</v>
      </c>
      <c r="H793" s="267">
        <v>710.69200000000001</v>
      </c>
      <c r="I793" s="200">
        <v>159</v>
      </c>
      <c r="J793" s="200">
        <v>169</v>
      </c>
      <c r="K793" s="200">
        <v>168</v>
      </c>
      <c r="L793" s="200">
        <v>179</v>
      </c>
      <c r="M793" s="267">
        <v>675</v>
      </c>
      <c r="N793" s="200">
        <v>190</v>
      </c>
      <c r="O793" s="200">
        <v>206</v>
      </c>
      <c r="P793" s="200">
        <v>225</v>
      </c>
      <c r="Q793" s="200">
        <v>225</v>
      </c>
      <c r="R793" s="267">
        <v>846</v>
      </c>
      <c r="S793" s="200">
        <v>225</v>
      </c>
      <c r="T793" s="200">
        <v>225</v>
      </c>
      <c r="U793" s="200">
        <v>238</v>
      </c>
      <c r="V793" s="200">
        <v>238</v>
      </c>
      <c r="W793" s="267">
        <v>926</v>
      </c>
    </row>
    <row r="794" spans="1:23" s="261" customFormat="1" ht="10.15" customHeight="1" x14ac:dyDescent="0.2">
      <c r="A794" s="2606"/>
      <c r="B794" s="249" t="s">
        <v>1019</v>
      </c>
      <c r="C794" s="200"/>
      <c r="D794" s="242"/>
      <c r="E794" s="242">
        <v>0</v>
      </c>
      <c r="F794" s="200">
        <v>0</v>
      </c>
      <c r="G794" s="200">
        <v>0</v>
      </c>
      <c r="H794" s="267">
        <v>0</v>
      </c>
      <c r="I794" s="200">
        <v>0</v>
      </c>
      <c r="J794" s="200">
        <v>0</v>
      </c>
      <c r="K794" s="200">
        <v>0</v>
      </c>
      <c r="L794" s="200">
        <v>0</v>
      </c>
      <c r="M794" s="267">
        <v>0</v>
      </c>
      <c r="N794" s="200">
        <v>0</v>
      </c>
      <c r="O794" s="200">
        <v>0</v>
      </c>
      <c r="P794" s="200">
        <v>0</v>
      </c>
      <c r="Q794" s="200">
        <v>0</v>
      </c>
      <c r="R794" s="267">
        <v>0</v>
      </c>
      <c r="S794" s="242"/>
      <c r="T794" s="242"/>
      <c r="U794" s="242"/>
      <c r="V794" s="242"/>
      <c r="W794" s="267">
        <v>0</v>
      </c>
    </row>
    <row r="795" spans="1:23" s="261" customFormat="1" ht="10.15" customHeight="1" x14ac:dyDescent="0.2">
      <c r="A795" s="2606"/>
      <c r="B795" s="249" t="s">
        <v>1020</v>
      </c>
      <c r="C795" s="200"/>
      <c r="D795" s="242"/>
      <c r="E795" s="242">
        <v>0</v>
      </c>
      <c r="F795" s="200">
        <v>0</v>
      </c>
      <c r="G795" s="200">
        <v>0</v>
      </c>
      <c r="H795" s="267">
        <v>0</v>
      </c>
      <c r="I795" s="200">
        <v>0</v>
      </c>
      <c r="J795" s="200">
        <v>0</v>
      </c>
      <c r="K795" s="200">
        <v>0</v>
      </c>
      <c r="L795" s="200">
        <v>0</v>
      </c>
      <c r="M795" s="267">
        <v>0</v>
      </c>
      <c r="N795" s="200">
        <v>0</v>
      </c>
      <c r="O795" s="200">
        <v>0</v>
      </c>
      <c r="P795" s="200">
        <v>0</v>
      </c>
      <c r="Q795" s="200">
        <v>0</v>
      </c>
      <c r="R795" s="267">
        <v>0</v>
      </c>
      <c r="S795" s="242"/>
      <c r="T795" s="242"/>
      <c r="U795" s="242"/>
      <c r="V795" s="242"/>
      <c r="W795" s="267">
        <v>0</v>
      </c>
    </row>
    <row r="796" spans="1:23" s="261" customFormat="1" ht="10.15" customHeight="1" x14ac:dyDescent="0.2">
      <c r="A796" s="2606"/>
      <c r="B796" s="249" t="s">
        <v>1004</v>
      </c>
      <c r="C796" s="200"/>
      <c r="D796" s="242"/>
      <c r="E796" s="242">
        <v>0</v>
      </c>
      <c r="F796" s="200">
        <v>0</v>
      </c>
      <c r="G796" s="200">
        <v>0</v>
      </c>
      <c r="H796" s="267">
        <v>0</v>
      </c>
      <c r="I796" s="200">
        <v>0</v>
      </c>
      <c r="J796" s="200">
        <v>0</v>
      </c>
      <c r="K796" s="200">
        <v>0</v>
      </c>
      <c r="L796" s="200">
        <v>0</v>
      </c>
      <c r="M796" s="267">
        <v>0</v>
      </c>
      <c r="N796" s="200">
        <v>0</v>
      </c>
      <c r="O796" s="200">
        <v>0</v>
      </c>
      <c r="P796" s="200">
        <v>0</v>
      </c>
      <c r="Q796" s="200">
        <v>0</v>
      </c>
      <c r="R796" s="267">
        <v>0</v>
      </c>
      <c r="S796" s="242"/>
      <c r="T796" s="242"/>
      <c r="U796" s="242"/>
      <c r="V796" s="242"/>
      <c r="W796" s="267">
        <v>0</v>
      </c>
    </row>
    <row r="797" spans="1:23" s="261" customFormat="1" ht="20.45" customHeight="1" x14ac:dyDescent="0.2">
      <c r="A797" s="2606"/>
      <c r="B797" s="249" t="s">
        <v>1005</v>
      </c>
      <c r="C797" s="200"/>
      <c r="D797" s="242"/>
      <c r="E797" s="242">
        <v>0</v>
      </c>
      <c r="F797" s="200">
        <v>0</v>
      </c>
      <c r="G797" s="200">
        <v>0</v>
      </c>
      <c r="H797" s="267">
        <v>0</v>
      </c>
      <c r="I797" s="200">
        <v>0</v>
      </c>
      <c r="J797" s="200">
        <v>0</v>
      </c>
      <c r="K797" s="200">
        <v>0</v>
      </c>
      <c r="L797" s="200">
        <v>0</v>
      </c>
      <c r="M797" s="267">
        <v>0</v>
      </c>
      <c r="N797" s="200">
        <v>0</v>
      </c>
      <c r="O797" s="200">
        <v>0</v>
      </c>
      <c r="P797" s="200">
        <v>0</v>
      </c>
      <c r="Q797" s="200">
        <v>0</v>
      </c>
      <c r="R797" s="267">
        <v>0</v>
      </c>
      <c r="S797" s="242"/>
      <c r="T797" s="242"/>
      <c r="U797" s="242"/>
      <c r="V797" s="242"/>
      <c r="W797" s="267">
        <v>0</v>
      </c>
    </row>
    <row r="798" spans="1:23" s="261" customFormat="1" ht="10.15" customHeight="1" x14ac:dyDescent="0.2">
      <c r="A798" s="2606"/>
      <c r="B798" s="249" t="s">
        <v>1006</v>
      </c>
      <c r="C798" s="200"/>
      <c r="D798" s="242"/>
      <c r="E798" s="242">
        <v>0</v>
      </c>
      <c r="F798" s="200">
        <v>0</v>
      </c>
      <c r="G798" s="200">
        <v>0</v>
      </c>
      <c r="H798" s="267">
        <v>0</v>
      </c>
      <c r="I798" s="200">
        <v>0</v>
      </c>
      <c r="J798" s="200">
        <v>0</v>
      </c>
      <c r="K798" s="200">
        <v>0</v>
      </c>
      <c r="L798" s="200">
        <v>0</v>
      </c>
      <c r="M798" s="267">
        <v>0</v>
      </c>
      <c r="N798" s="200">
        <v>0</v>
      </c>
      <c r="O798" s="200">
        <v>0</v>
      </c>
      <c r="P798" s="200">
        <v>0</v>
      </c>
      <c r="Q798" s="200">
        <v>0</v>
      </c>
      <c r="R798" s="267">
        <v>0</v>
      </c>
      <c r="S798" s="242"/>
      <c r="T798" s="242"/>
      <c r="U798" s="242"/>
      <c r="V798" s="242"/>
      <c r="W798" s="267">
        <v>0</v>
      </c>
    </row>
    <row r="799" spans="1:23" s="224" customFormat="1" ht="12.75" x14ac:dyDescent="0.2">
      <c r="A799" s="2607"/>
      <c r="B799" s="249" t="s">
        <v>1007</v>
      </c>
      <c r="C799" s="200"/>
      <c r="D799" s="242"/>
      <c r="E799" s="242">
        <v>0</v>
      </c>
      <c r="F799" s="200">
        <v>0</v>
      </c>
      <c r="G799" s="200">
        <v>0</v>
      </c>
      <c r="H799" s="267">
        <v>0</v>
      </c>
      <c r="I799" s="200">
        <v>0</v>
      </c>
      <c r="J799" s="200">
        <v>0</v>
      </c>
      <c r="K799" s="200">
        <v>0</v>
      </c>
      <c r="L799" s="200">
        <v>0</v>
      </c>
      <c r="M799" s="267">
        <v>0</v>
      </c>
      <c r="N799" s="200">
        <v>0</v>
      </c>
      <c r="O799" s="200">
        <v>0</v>
      </c>
      <c r="P799" s="200">
        <v>0</v>
      </c>
      <c r="Q799" s="200">
        <v>0</v>
      </c>
      <c r="R799" s="267">
        <v>0</v>
      </c>
      <c r="S799" s="242"/>
      <c r="T799" s="242"/>
      <c r="U799" s="242"/>
      <c r="V799" s="242"/>
      <c r="W799" s="267">
        <v>0</v>
      </c>
    </row>
    <row r="800" spans="1:23" s="224" customFormat="1" ht="12.75" x14ac:dyDescent="0.2">
      <c r="A800" s="2605" t="s">
        <v>1025</v>
      </c>
      <c r="B800" s="249" t="s">
        <v>712</v>
      </c>
      <c r="C800" s="200"/>
      <c r="D800" s="242"/>
      <c r="E800" s="242">
        <v>0</v>
      </c>
      <c r="F800" s="200">
        <v>0</v>
      </c>
      <c r="G800" s="200">
        <v>0</v>
      </c>
      <c r="H800" s="267">
        <v>0</v>
      </c>
      <c r="I800" s="200">
        <v>0</v>
      </c>
      <c r="J800" s="200">
        <v>0</v>
      </c>
      <c r="K800" s="200">
        <v>0</v>
      </c>
      <c r="L800" s="200">
        <v>0</v>
      </c>
      <c r="M800" s="267">
        <v>0</v>
      </c>
      <c r="N800" s="200">
        <v>0</v>
      </c>
      <c r="O800" s="200">
        <v>0</v>
      </c>
      <c r="P800" s="200">
        <v>0</v>
      </c>
      <c r="Q800" s="200">
        <v>0</v>
      </c>
      <c r="R800" s="267">
        <v>0</v>
      </c>
      <c r="S800" s="242"/>
      <c r="T800" s="242"/>
      <c r="U800" s="242"/>
      <c r="V800" s="242"/>
      <c r="W800" s="267">
        <v>0</v>
      </c>
    </row>
    <row r="801" spans="1:24" s="224" customFormat="1" ht="12.75" x14ac:dyDescent="0.2">
      <c r="A801" s="2606"/>
      <c r="B801" s="249" t="s">
        <v>1019</v>
      </c>
      <c r="C801" s="200">
        <v>35</v>
      </c>
      <c r="D801" s="242">
        <v>36.4</v>
      </c>
      <c r="E801" s="242">
        <v>30</v>
      </c>
      <c r="F801" s="200">
        <v>32</v>
      </c>
      <c r="G801" s="200">
        <v>36</v>
      </c>
      <c r="H801" s="267">
        <v>134.4</v>
      </c>
      <c r="I801" s="200">
        <v>38</v>
      </c>
      <c r="J801" s="200">
        <v>38</v>
      </c>
      <c r="K801" s="200">
        <v>40</v>
      </c>
      <c r="L801" s="200">
        <v>48</v>
      </c>
      <c r="M801" s="267">
        <v>164</v>
      </c>
      <c r="N801" s="200">
        <v>53</v>
      </c>
      <c r="O801" s="200">
        <v>54</v>
      </c>
      <c r="P801" s="200">
        <v>53</v>
      </c>
      <c r="Q801" s="200">
        <v>53</v>
      </c>
      <c r="R801" s="267">
        <v>213</v>
      </c>
      <c r="S801" s="200">
        <v>56</v>
      </c>
      <c r="T801" s="200">
        <v>56</v>
      </c>
      <c r="U801" s="200">
        <v>56</v>
      </c>
      <c r="V801" s="200">
        <v>56</v>
      </c>
      <c r="W801" s="267">
        <v>224</v>
      </c>
    </row>
    <row r="802" spans="1:24" s="224" customFormat="1" ht="12.75" x14ac:dyDescent="0.2">
      <c r="A802" s="2606"/>
      <c r="B802" s="249" t="s">
        <v>1020</v>
      </c>
      <c r="C802" s="200"/>
      <c r="D802" s="242">
        <v>0</v>
      </c>
      <c r="E802" s="242">
        <v>0</v>
      </c>
      <c r="F802" s="200">
        <v>6</v>
      </c>
      <c r="G802" s="200">
        <v>10</v>
      </c>
      <c r="H802" s="267">
        <v>16</v>
      </c>
      <c r="I802" s="200">
        <v>7</v>
      </c>
      <c r="J802" s="200">
        <v>8</v>
      </c>
      <c r="K802" s="200">
        <v>8</v>
      </c>
      <c r="L802" s="200">
        <v>9</v>
      </c>
      <c r="M802" s="267">
        <v>32</v>
      </c>
      <c r="N802" s="200">
        <v>10</v>
      </c>
      <c r="O802" s="200">
        <v>10.4</v>
      </c>
      <c r="P802" s="200">
        <v>10</v>
      </c>
      <c r="Q802" s="200">
        <v>10.4</v>
      </c>
      <c r="R802" s="267">
        <v>40.799999999999997</v>
      </c>
      <c r="S802" s="200">
        <v>10</v>
      </c>
      <c r="T802" s="200">
        <v>10</v>
      </c>
      <c r="U802" s="200">
        <v>10</v>
      </c>
      <c r="V802" s="200">
        <v>10</v>
      </c>
      <c r="W802" s="267">
        <v>40</v>
      </c>
    </row>
    <row r="803" spans="1:24" s="224" customFormat="1" ht="12.75" x14ac:dyDescent="0.2">
      <c r="A803" s="2606"/>
      <c r="B803" s="249" t="s">
        <v>1004</v>
      </c>
      <c r="C803" s="200">
        <v>10</v>
      </c>
      <c r="D803" s="242">
        <v>10.4</v>
      </c>
      <c r="E803" s="242">
        <v>12</v>
      </c>
      <c r="F803" s="200">
        <v>14</v>
      </c>
      <c r="G803" s="200">
        <v>20</v>
      </c>
      <c r="H803" s="267">
        <v>56.4</v>
      </c>
      <c r="I803" s="200">
        <v>22</v>
      </c>
      <c r="J803" s="200">
        <v>24</v>
      </c>
      <c r="K803" s="200">
        <v>25</v>
      </c>
      <c r="L803" s="200">
        <v>27</v>
      </c>
      <c r="M803" s="267">
        <v>98</v>
      </c>
      <c r="N803" s="200">
        <v>28</v>
      </c>
      <c r="O803" s="200">
        <v>29.12</v>
      </c>
      <c r="P803" s="200">
        <v>29</v>
      </c>
      <c r="Q803" s="200">
        <v>28</v>
      </c>
      <c r="R803" s="267">
        <v>114.12</v>
      </c>
      <c r="S803" s="200">
        <v>28</v>
      </c>
      <c r="T803" s="200">
        <v>28</v>
      </c>
      <c r="U803" s="200">
        <v>28</v>
      </c>
      <c r="V803" s="200">
        <v>28</v>
      </c>
      <c r="W803" s="267">
        <v>112</v>
      </c>
    </row>
    <row r="804" spans="1:24" s="268" customFormat="1" ht="48.6" customHeight="1" x14ac:dyDescent="0.2">
      <c r="A804" s="2606"/>
      <c r="B804" s="249" t="s">
        <v>1005</v>
      </c>
      <c r="C804" s="200">
        <v>25</v>
      </c>
      <c r="D804" s="242">
        <v>26</v>
      </c>
      <c r="E804" s="242">
        <v>34</v>
      </c>
      <c r="F804" s="200">
        <v>0</v>
      </c>
      <c r="G804" s="200">
        <v>0</v>
      </c>
      <c r="H804" s="267">
        <v>60</v>
      </c>
      <c r="I804" s="200">
        <v>0</v>
      </c>
      <c r="J804" s="200">
        <v>0</v>
      </c>
      <c r="K804" s="200">
        <v>0</v>
      </c>
      <c r="L804" s="200">
        <v>0</v>
      </c>
      <c r="M804" s="267">
        <v>0</v>
      </c>
      <c r="N804" s="200">
        <v>0</v>
      </c>
      <c r="O804" s="200">
        <v>0</v>
      </c>
      <c r="P804" s="200">
        <v>0</v>
      </c>
      <c r="Q804" s="200">
        <v>0</v>
      </c>
      <c r="R804" s="267">
        <v>0</v>
      </c>
      <c r="S804" s="200">
        <v>0</v>
      </c>
      <c r="T804" s="200">
        <v>0</v>
      </c>
      <c r="U804" s="200">
        <v>0</v>
      </c>
      <c r="V804" s="200">
        <v>0</v>
      </c>
      <c r="W804" s="267">
        <v>0</v>
      </c>
    </row>
    <row r="805" spans="1:24" s="119" customFormat="1" ht="24" customHeight="1" x14ac:dyDescent="0.2">
      <c r="A805" s="2606"/>
      <c r="B805" s="249" t="s">
        <v>1006</v>
      </c>
      <c r="C805" s="200">
        <v>5</v>
      </c>
      <c r="D805" s="242">
        <v>5.2</v>
      </c>
      <c r="E805" s="242">
        <v>5.4080000000000004</v>
      </c>
      <c r="F805" s="200">
        <v>35</v>
      </c>
      <c r="G805" s="200">
        <v>40</v>
      </c>
      <c r="H805" s="267">
        <v>85.608000000000004</v>
      </c>
      <c r="I805" s="200">
        <v>44</v>
      </c>
      <c r="J805" s="200">
        <v>47</v>
      </c>
      <c r="K805" s="200">
        <v>49</v>
      </c>
      <c r="L805" s="200">
        <v>52</v>
      </c>
      <c r="M805" s="267">
        <v>192</v>
      </c>
      <c r="N805" s="200">
        <v>59</v>
      </c>
      <c r="O805" s="200">
        <v>59</v>
      </c>
      <c r="P805" s="200">
        <v>59</v>
      </c>
      <c r="Q805" s="200">
        <v>59</v>
      </c>
      <c r="R805" s="267">
        <v>236</v>
      </c>
      <c r="S805" s="200">
        <v>62</v>
      </c>
      <c r="T805" s="200">
        <v>62</v>
      </c>
      <c r="U805" s="200">
        <v>63</v>
      </c>
      <c r="V805" s="200">
        <v>62</v>
      </c>
      <c r="W805" s="267">
        <v>249</v>
      </c>
    </row>
    <row r="806" spans="1:24" s="119" customFormat="1" ht="24" customHeight="1" x14ac:dyDescent="0.2">
      <c r="A806" s="2607"/>
      <c r="B806" s="249" t="s">
        <v>1007</v>
      </c>
      <c r="C806" s="200">
        <v>10</v>
      </c>
      <c r="D806" s="242">
        <v>10.4</v>
      </c>
      <c r="E806" s="242">
        <v>12</v>
      </c>
      <c r="F806" s="200">
        <v>14</v>
      </c>
      <c r="G806" s="200">
        <v>20</v>
      </c>
      <c r="H806" s="267">
        <v>56.4</v>
      </c>
      <c r="I806" s="200">
        <v>16</v>
      </c>
      <c r="J806" s="200">
        <v>17</v>
      </c>
      <c r="K806" s="200">
        <v>18</v>
      </c>
      <c r="L806" s="200">
        <v>18.72</v>
      </c>
      <c r="M806" s="267">
        <v>69.72</v>
      </c>
      <c r="N806" s="200">
        <v>21</v>
      </c>
      <c r="O806" s="200">
        <v>21.84</v>
      </c>
      <c r="P806" s="200">
        <v>21</v>
      </c>
      <c r="Q806" s="200">
        <v>21</v>
      </c>
      <c r="R806" s="267">
        <v>84.84</v>
      </c>
      <c r="S806" s="200">
        <v>23</v>
      </c>
      <c r="T806" s="200">
        <v>23</v>
      </c>
      <c r="U806" s="200">
        <v>23</v>
      </c>
      <c r="V806" s="200">
        <v>22</v>
      </c>
      <c r="W806" s="267">
        <v>91</v>
      </c>
    </row>
    <row r="807" spans="1:24" s="119" customFormat="1" ht="24" customHeight="1" x14ac:dyDescent="0.2">
      <c r="A807" s="2605" t="s">
        <v>1026</v>
      </c>
      <c r="B807" s="249" t="s">
        <v>712</v>
      </c>
      <c r="C807" s="200"/>
      <c r="D807" s="242">
        <v>0</v>
      </c>
      <c r="E807" s="242">
        <v>0</v>
      </c>
      <c r="F807" s="200">
        <v>0</v>
      </c>
      <c r="G807" s="200">
        <v>0</v>
      </c>
      <c r="H807" s="267">
        <v>0</v>
      </c>
      <c r="I807" s="200">
        <v>0</v>
      </c>
      <c r="J807" s="200">
        <v>0</v>
      </c>
      <c r="K807" s="200">
        <v>0</v>
      </c>
      <c r="L807" s="200">
        <v>0</v>
      </c>
      <c r="M807" s="267">
        <v>0</v>
      </c>
      <c r="N807" s="200">
        <v>0</v>
      </c>
      <c r="O807" s="200">
        <v>0</v>
      </c>
      <c r="P807" s="200">
        <v>0</v>
      </c>
      <c r="Q807" s="200">
        <v>0</v>
      </c>
      <c r="R807" s="267">
        <v>0</v>
      </c>
      <c r="S807" s="200"/>
      <c r="T807" s="200"/>
      <c r="U807" s="200">
        <v>0</v>
      </c>
      <c r="V807" s="200"/>
      <c r="W807" s="267">
        <v>0</v>
      </c>
    </row>
    <row r="808" spans="1:24" s="119" customFormat="1" ht="24" customHeight="1" x14ac:dyDescent="0.2">
      <c r="A808" s="2606"/>
      <c r="B808" s="249" t="s">
        <v>1019</v>
      </c>
      <c r="C808" s="200">
        <v>10</v>
      </c>
      <c r="D808" s="242">
        <v>10.4</v>
      </c>
      <c r="E808" s="242">
        <v>10.816000000000001</v>
      </c>
      <c r="F808" s="200">
        <v>14</v>
      </c>
      <c r="G808" s="200">
        <v>20</v>
      </c>
      <c r="H808" s="267">
        <v>55.216000000000001</v>
      </c>
      <c r="I808" s="200">
        <v>13</v>
      </c>
      <c r="J808" s="200">
        <v>13</v>
      </c>
      <c r="K808" s="200">
        <v>13</v>
      </c>
      <c r="L808" s="200">
        <v>13.52</v>
      </c>
      <c r="M808" s="267">
        <v>52.519999999999996</v>
      </c>
      <c r="N808" s="200">
        <v>16</v>
      </c>
      <c r="O808" s="200">
        <v>16</v>
      </c>
      <c r="P808" s="200">
        <v>16</v>
      </c>
      <c r="Q808" s="200">
        <v>16</v>
      </c>
      <c r="R808" s="267">
        <v>64</v>
      </c>
      <c r="S808" s="200">
        <v>17</v>
      </c>
      <c r="T808" s="200">
        <v>17</v>
      </c>
      <c r="U808" s="200">
        <v>17</v>
      </c>
      <c r="V808" s="200">
        <v>17</v>
      </c>
      <c r="W808" s="267">
        <v>68</v>
      </c>
    </row>
    <row r="809" spans="1:24" s="119" customFormat="1" ht="24" customHeight="1" x14ac:dyDescent="0.2">
      <c r="A809" s="2606"/>
      <c r="B809" s="249" t="s">
        <v>1020</v>
      </c>
      <c r="C809" s="200"/>
      <c r="D809" s="242">
        <v>0</v>
      </c>
      <c r="E809" s="242">
        <v>0</v>
      </c>
      <c r="F809" s="200">
        <v>4</v>
      </c>
      <c r="G809" s="200">
        <v>5</v>
      </c>
      <c r="H809" s="267">
        <v>9</v>
      </c>
      <c r="I809" s="200">
        <v>5</v>
      </c>
      <c r="J809" s="200">
        <v>5</v>
      </c>
      <c r="K809" s="200">
        <v>6</v>
      </c>
      <c r="L809" s="200">
        <v>6.24</v>
      </c>
      <c r="M809" s="267">
        <v>22.240000000000002</v>
      </c>
      <c r="N809" s="200">
        <v>7</v>
      </c>
      <c r="O809" s="200">
        <v>8</v>
      </c>
      <c r="P809" s="200">
        <v>7</v>
      </c>
      <c r="Q809" s="200">
        <v>7.28</v>
      </c>
      <c r="R809" s="267">
        <v>29.28</v>
      </c>
      <c r="S809" s="200">
        <v>7</v>
      </c>
      <c r="T809" s="200">
        <v>7</v>
      </c>
      <c r="U809" s="200">
        <v>7</v>
      </c>
      <c r="V809" s="200">
        <v>8</v>
      </c>
      <c r="W809" s="267">
        <v>29</v>
      </c>
    </row>
    <row r="810" spans="1:24" s="119" customFormat="1" ht="24" customHeight="1" x14ac:dyDescent="0.2">
      <c r="A810" s="2606"/>
      <c r="B810" s="249" t="s">
        <v>1004</v>
      </c>
      <c r="C810" s="200">
        <v>4</v>
      </c>
      <c r="D810" s="242">
        <v>4.16</v>
      </c>
      <c r="E810" s="242">
        <v>6</v>
      </c>
      <c r="F810" s="200">
        <v>7</v>
      </c>
      <c r="G810" s="200">
        <v>10</v>
      </c>
      <c r="H810" s="267">
        <v>27.16</v>
      </c>
      <c r="I810" s="200">
        <v>13</v>
      </c>
      <c r="J810" s="200">
        <v>14</v>
      </c>
      <c r="K810" s="200">
        <v>15</v>
      </c>
      <c r="L810" s="200">
        <v>15.600000000000001</v>
      </c>
      <c r="M810" s="267">
        <v>57.6</v>
      </c>
      <c r="N810" s="200">
        <v>11</v>
      </c>
      <c r="O810" s="200">
        <v>11.440000000000001</v>
      </c>
      <c r="P810" s="200">
        <v>11</v>
      </c>
      <c r="Q810" s="200">
        <v>11.440000000000001</v>
      </c>
      <c r="R810" s="267">
        <v>44.879999999999995</v>
      </c>
      <c r="S810" s="200">
        <v>11</v>
      </c>
      <c r="T810" s="200">
        <v>11</v>
      </c>
      <c r="U810" s="200">
        <v>11</v>
      </c>
      <c r="V810" s="200">
        <v>11</v>
      </c>
      <c r="W810" s="267">
        <v>44</v>
      </c>
    </row>
    <row r="811" spans="1:24" s="119" customFormat="1" ht="24" customHeight="1" x14ac:dyDescent="0.2">
      <c r="A811" s="2606"/>
      <c r="B811" s="249" t="s">
        <v>1005</v>
      </c>
      <c r="C811" s="200">
        <v>30</v>
      </c>
      <c r="D811" s="242">
        <v>31.200000000000003</v>
      </c>
      <c r="E811" s="242">
        <v>16</v>
      </c>
      <c r="F811" s="200">
        <v>0</v>
      </c>
      <c r="G811" s="200">
        <v>0</v>
      </c>
      <c r="H811" s="267">
        <v>47.2</v>
      </c>
      <c r="I811" s="200">
        <v>0</v>
      </c>
      <c r="J811" s="200">
        <v>0</v>
      </c>
      <c r="K811" s="200">
        <v>0</v>
      </c>
      <c r="L811" s="200">
        <v>0</v>
      </c>
      <c r="M811" s="267">
        <v>0</v>
      </c>
      <c r="N811" s="200">
        <v>0</v>
      </c>
      <c r="O811" s="200">
        <v>0</v>
      </c>
      <c r="P811" s="200">
        <v>0</v>
      </c>
      <c r="Q811" s="200">
        <v>0</v>
      </c>
      <c r="R811" s="267">
        <v>0</v>
      </c>
      <c r="S811" s="200">
        <v>0</v>
      </c>
      <c r="T811" s="200">
        <v>0</v>
      </c>
      <c r="U811" s="200">
        <v>0</v>
      </c>
      <c r="V811" s="200">
        <v>0</v>
      </c>
      <c r="W811" s="267">
        <v>0</v>
      </c>
    </row>
    <row r="812" spans="1:24" s="119" customFormat="1" ht="24" customHeight="1" x14ac:dyDescent="0.2">
      <c r="A812" s="2606"/>
      <c r="B812" s="249" t="s">
        <v>1006</v>
      </c>
      <c r="C812" s="200">
        <v>4</v>
      </c>
      <c r="D812" s="242">
        <v>4.16</v>
      </c>
      <c r="E812" s="242">
        <v>4.3264000000000005</v>
      </c>
      <c r="F812" s="200">
        <v>17</v>
      </c>
      <c r="G812" s="200">
        <v>20</v>
      </c>
      <c r="H812" s="267">
        <v>45.486400000000003</v>
      </c>
      <c r="I812" s="200">
        <v>22</v>
      </c>
      <c r="J812" s="200">
        <v>23</v>
      </c>
      <c r="K812" s="200">
        <v>24</v>
      </c>
      <c r="L812" s="200">
        <v>26</v>
      </c>
      <c r="M812" s="267">
        <v>95</v>
      </c>
      <c r="N812" s="200">
        <v>29</v>
      </c>
      <c r="O812" s="200">
        <v>30.16</v>
      </c>
      <c r="P812" s="200">
        <v>29</v>
      </c>
      <c r="Q812" s="200">
        <v>30.16</v>
      </c>
      <c r="R812" s="267">
        <v>118.32</v>
      </c>
      <c r="S812" s="200">
        <v>33</v>
      </c>
      <c r="T812" s="200">
        <v>33</v>
      </c>
      <c r="U812" s="200">
        <v>33</v>
      </c>
      <c r="V812" s="200">
        <v>33</v>
      </c>
      <c r="W812" s="267">
        <v>132</v>
      </c>
    </row>
    <row r="813" spans="1:24" s="119" customFormat="1" ht="24" customHeight="1" x14ac:dyDescent="0.2">
      <c r="A813" s="2607"/>
      <c r="B813" s="249" t="s">
        <v>1007</v>
      </c>
      <c r="C813" s="200">
        <v>8</v>
      </c>
      <c r="D813" s="242">
        <v>8.32</v>
      </c>
      <c r="E813" s="242">
        <v>8.6528000000000009</v>
      </c>
      <c r="F813" s="200">
        <v>11</v>
      </c>
      <c r="G813" s="200">
        <v>12</v>
      </c>
      <c r="H813" s="267">
        <v>39.972799999999999</v>
      </c>
      <c r="I813" s="200">
        <v>11</v>
      </c>
      <c r="J813" s="200">
        <v>12</v>
      </c>
      <c r="K813" s="200">
        <v>13</v>
      </c>
      <c r="L813" s="200">
        <v>13</v>
      </c>
      <c r="M813" s="267">
        <v>49</v>
      </c>
      <c r="N813" s="200">
        <v>16</v>
      </c>
      <c r="O813" s="200">
        <v>15</v>
      </c>
      <c r="P813" s="200">
        <v>15</v>
      </c>
      <c r="Q813" s="200">
        <v>15</v>
      </c>
      <c r="R813" s="267">
        <v>61</v>
      </c>
      <c r="S813" s="200">
        <v>14</v>
      </c>
      <c r="T813" s="200">
        <v>15</v>
      </c>
      <c r="U813" s="200">
        <v>15</v>
      </c>
      <c r="V813" s="200">
        <v>15</v>
      </c>
      <c r="W813" s="267">
        <v>59</v>
      </c>
    </row>
    <row r="814" spans="1:24" s="187" customFormat="1" ht="32.25" customHeight="1" x14ac:dyDescent="0.2">
      <c r="A814" s="183" t="s">
        <v>1027</v>
      </c>
      <c r="B814" s="184"/>
      <c r="C814" s="185">
        <f>SUM(C815:C820)</f>
        <v>70</v>
      </c>
      <c r="D814" s="185">
        <f>SUM(D815:D820)</f>
        <v>72.800000000000011</v>
      </c>
      <c r="E814" s="185">
        <f>SUM(E815:E820)</f>
        <v>125</v>
      </c>
      <c r="F814" s="185">
        <f>SUM(F815:F820)</f>
        <v>110</v>
      </c>
      <c r="G814" s="185">
        <f>SUM(G815:G820)</f>
        <v>175</v>
      </c>
      <c r="H814" s="184">
        <f>SUM(D814:G814)</f>
        <v>482.8</v>
      </c>
      <c r="I814" s="185">
        <f>SUM(I815:I820)</f>
        <v>155</v>
      </c>
      <c r="J814" s="185">
        <f>SUM(J815:J820)</f>
        <v>146</v>
      </c>
      <c r="K814" s="185">
        <f>SUM(K815:K820)</f>
        <v>156</v>
      </c>
      <c r="L814" s="185">
        <f>SUM(L815:L820)</f>
        <v>152.28</v>
      </c>
      <c r="M814" s="184">
        <f>SUM(I814:L814)</f>
        <v>609.28</v>
      </c>
      <c r="N814" s="185">
        <f>SUM(N815:N820)</f>
        <v>161.08159999999998</v>
      </c>
      <c r="O814" s="185">
        <f>SUM(O815:O820)</f>
        <v>149.16486399999999</v>
      </c>
      <c r="P814" s="185">
        <f>SUM(P815:P820)</f>
        <v>133.16985855999999</v>
      </c>
      <c r="Q814" s="185">
        <f>SUM(Q815:Q820)</f>
        <v>121.2166529024</v>
      </c>
      <c r="R814" s="184">
        <f>SUM(N814:Q814)</f>
        <v>564.63297546239994</v>
      </c>
      <c r="S814" s="185">
        <f>SUM(S815:S820)</f>
        <v>102</v>
      </c>
      <c r="T814" s="185">
        <f>SUM(T815:T820)</f>
        <v>83</v>
      </c>
      <c r="U814" s="185">
        <f>SUM(U815:U820)</f>
        <v>70</v>
      </c>
      <c r="V814" s="185">
        <f>SUM(V815:V820)</f>
        <v>45</v>
      </c>
      <c r="W814" s="184">
        <f>SUM(S814:V814)</f>
        <v>300</v>
      </c>
      <c r="X814" s="186"/>
    </row>
    <row r="815" spans="1:24" s="119" customFormat="1" ht="24" customHeight="1" x14ac:dyDescent="0.2">
      <c r="A815" s="2605"/>
      <c r="B815" s="249" t="s">
        <v>1019</v>
      </c>
      <c r="C815" s="200">
        <v>20</v>
      </c>
      <c r="D815" s="242">
        <v>20.8</v>
      </c>
      <c r="E815" s="242">
        <v>50</v>
      </c>
      <c r="F815" s="200">
        <v>38</v>
      </c>
      <c r="G815" s="200">
        <v>70</v>
      </c>
      <c r="H815" s="267">
        <v>178.8</v>
      </c>
      <c r="I815" s="200">
        <v>62</v>
      </c>
      <c r="J815" s="200">
        <v>62</v>
      </c>
      <c r="K815" s="200">
        <v>66</v>
      </c>
      <c r="L815" s="200">
        <v>70</v>
      </c>
      <c r="M815" s="267">
        <v>260</v>
      </c>
      <c r="N815" s="200">
        <v>68</v>
      </c>
      <c r="O815" s="200">
        <v>56</v>
      </c>
      <c r="P815" s="200">
        <v>57</v>
      </c>
      <c r="Q815" s="200">
        <v>44</v>
      </c>
      <c r="R815" s="267">
        <v>225</v>
      </c>
      <c r="S815" s="269">
        <v>25</v>
      </c>
      <c r="T815" s="269">
        <v>6</v>
      </c>
      <c r="U815" s="269">
        <v>6</v>
      </c>
      <c r="V815" s="269">
        <v>6</v>
      </c>
      <c r="W815" s="267">
        <v>43</v>
      </c>
    </row>
    <row r="816" spans="1:24" s="119" customFormat="1" ht="24" customHeight="1" x14ac:dyDescent="0.2">
      <c r="A816" s="2606"/>
      <c r="B816" s="249" t="s">
        <v>1020</v>
      </c>
      <c r="C816" s="200"/>
      <c r="D816" s="242">
        <v>0</v>
      </c>
      <c r="E816" s="242">
        <v>0</v>
      </c>
      <c r="F816" s="200">
        <v>8</v>
      </c>
      <c r="G816" s="200">
        <v>10</v>
      </c>
      <c r="H816" s="267">
        <v>18</v>
      </c>
      <c r="I816" s="200">
        <v>8</v>
      </c>
      <c r="J816" s="200">
        <v>1</v>
      </c>
      <c r="K816" s="200">
        <v>1</v>
      </c>
      <c r="L816" s="200">
        <v>1.04</v>
      </c>
      <c r="M816" s="267">
        <v>11.04</v>
      </c>
      <c r="N816" s="200">
        <v>1.0816000000000001</v>
      </c>
      <c r="O816" s="200">
        <v>1.1248640000000001</v>
      </c>
      <c r="P816" s="200">
        <v>1.1698585600000002</v>
      </c>
      <c r="Q816" s="200">
        <v>1.2166529024000003</v>
      </c>
      <c r="R816" s="267">
        <v>4.592975462400001</v>
      </c>
      <c r="S816" s="269">
        <v>1</v>
      </c>
      <c r="T816" s="269">
        <v>1</v>
      </c>
      <c r="U816" s="269">
        <v>2</v>
      </c>
      <c r="V816" s="269">
        <v>2</v>
      </c>
      <c r="W816" s="267">
        <v>6</v>
      </c>
    </row>
    <row r="817" spans="1:24" s="119" customFormat="1" ht="24" customHeight="1" x14ac:dyDescent="0.2">
      <c r="A817" s="2606"/>
      <c r="B817" s="249" t="s">
        <v>1004</v>
      </c>
      <c r="C817" s="200">
        <v>8</v>
      </c>
      <c r="D817" s="242">
        <v>8.32</v>
      </c>
      <c r="E817" s="242">
        <v>7</v>
      </c>
      <c r="F817" s="200">
        <v>9</v>
      </c>
      <c r="G817" s="200">
        <v>10</v>
      </c>
      <c r="H817" s="267">
        <v>34.32</v>
      </c>
      <c r="I817" s="200">
        <v>11</v>
      </c>
      <c r="J817" s="200">
        <v>5</v>
      </c>
      <c r="K817" s="200">
        <v>5</v>
      </c>
      <c r="L817" s="200">
        <v>1</v>
      </c>
      <c r="M817" s="267">
        <v>22</v>
      </c>
      <c r="N817" s="200">
        <v>1</v>
      </c>
      <c r="O817" s="200">
        <v>1.04</v>
      </c>
      <c r="P817" s="200">
        <v>2</v>
      </c>
      <c r="Q817" s="200">
        <v>3</v>
      </c>
      <c r="R817" s="267">
        <v>7.04</v>
      </c>
      <c r="S817" s="269">
        <v>3</v>
      </c>
      <c r="T817" s="269">
        <v>3</v>
      </c>
      <c r="U817" s="269">
        <v>3</v>
      </c>
      <c r="V817" s="269">
        <v>3</v>
      </c>
      <c r="W817" s="267">
        <v>12</v>
      </c>
    </row>
    <row r="818" spans="1:24" s="119" customFormat="1" ht="24" customHeight="1" x14ac:dyDescent="0.2">
      <c r="A818" s="2606"/>
      <c r="B818" s="249" t="s">
        <v>1005</v>
      </c>
      <c r="C818" s="200">
        <v>30</v>
      </c>
      <c r="D818" s="242">
        <v>31.200000000000003</v>
      </c>
      <c r="E818" s="242">
        <v>39</v>
      </c>
      <c r="F818" s="200">
        <v>0</v>
      </c>
      <c r="G818" s="200">
        <v>0</v>
      </c>
      <c r="H818" s="267">
        <v>70.2</v>
      </c>
      <c r="I818" s="200">
        <v>0</v>
      </c>
      <c r="J818" s="200">
        <v>0</v>
      </c>
      <c r="K818" s="200">
        <v>0</v>
      </c>
      <c r="L818" s="200">
        <v>0</v>
      </c>
      <c r="M818" s="267">
        <v>0</v>
      </c>
      <c r="N818" s="200">
        <v>0</v>
      </c>
      <c r="O818" s="200">
        <v>0</v>
      </c>
      <c r="P818" s="200">
        <v>0</v>
      </c>
      <c r="Q818" s="200">
        <v>0</v>
      </c>
      <c r="R818" s="267">
        <v>0</v>
      </c>
      <c r="S818" s="269">
        <v>0</v>
      </c>
      <c r="T818" s="269">
        <v>0</v>
      </c>
      <c r="U818" s="269">
        <v>0</v>
      </c>
      <c r="V818" s="269">
        <v>0</v>
      </c>
      <c r="W818" s="267">
        <v>0</v>
      </c>
    </row>
    <row r="819" spans="1:24" s="119" customFormat="1" ht="24" customHeight="1" x14ac:dyDescent="0.2">
      <c r="A819" s="2606"/>
      <c r="B819" s="249" t="s">
        <v>1006</v>
      </c>
      <c r="C819" s="200">
        <v>4</v>
      </c>
      <c r="D819" s="242">
        <v>4.16</v>
      </c>
      <c r="E819" s="242">
        <v>6</v>
      </c>
      <c r="F819" s="200">
        <v>35</v>
      </c>
      <c r="G819" s="200">
        <v>55</v>
      </c>
      <c r="H819" s="267">
        <v>100.16</v>
      </c>
      <c r="I819" s="200">
        <v>46</v>
      </c>
      <c r="J819" s="200">
        <v>49</v>
      </c>
      <c r="K819" s="200">
        <v>53</v>
      </c>
      <c r="L819" s="200">
        <v>48</v>
      </c>
      <c r="M819" s="267">
        <v>196</v>
      </c>
      <c r="N819" s="200">
        <v>54</v>
      </c>
      <c r="O819" s="200">
        <v>54</v>
      </c>
      <c r="P819" s="200">
        <v>54</v>
      </c>
      <c r="Q819" s="200">
        <v>54</v>
      </c>
      <c r="R819" s="267">
        <v>216</v>
      </c>
      <c r="S819" s="269">
        <v>54</v>
      </c>
      <c r="T819" s="269">
        <v>54</v>
      </c>
      <c r="U819" s="269">
        <v>40</v>
      </c>
      <c r="V819" s="269">
        <v>15</v>
      </c>
      <c r="W819" s="267">
        <v>163</v>
      </c>
    </row>
    <row r="820" spans="1:24" s="119" customFormat="1" ht="24" customHeight="1" x14ac:dyDescent="0.2">
      <c r="A820" s="2607"/>
      <c r="B820" s="249" t="s">
        <v>1007</v>
      </c>
      <c r="C820" s="200">
        <v>8</v>
      </c>
      <c r="D820" s="242">
        <v>8.32</v>
      </c>
      <c r="E820" s="242">
        <v>23</v>
      </c>
      <c r="F820" s="200">
        <v>20</v>
      </c>
      <c r="G820" s="200">
        <v>30</v>
      </c>
      <c r="H820" s="267">
        <v>81.319999999999993</v>
      </c>
      <c r="I820" s="200">
        <v>28</v>
      </c>
      <c r="J820" s="200">
        <v>29</v>
      </c>
      <c r="K820" s="200">
        <v>31</v>
      </c>
      <c r="L820" s="200">
        <v>32.24</v>
      </c>
      <c r="M820" s="267">
        <v>120.24000000000001</v>
      </c>
      <c r="N820" s="200">
        <v>37</v>
      </c>
      <c r="O820" s="200">
        <v>37</v>
      </c>
      <c r="P820" s="200">
        <v>19</v>
      </c>
      <c r="Q820" s="200">
        <v>19</v>
      </c>
      <c r="R820" s="267">
        <v>112</v>
      </c>
      <c r="S820" s="269">
        <v>19</v>
      </c>
      <c r="T820" s="269">
        <v>19</v>
      </c>
      <c r="U820" s="269">
        <v>19</v>
      </c>
      <c r="V820" s="269">
        <v>19</v>
      </c>
      <c r="W820" s="267">
        <v>76</v>
      </c>
    </row>
    <row r="821" spans="1:24" s="187" customFormat="1" ht="74.45" customHeight="1" x14ac:dyDescent="0.2">
      <c r="A821" s="183" t="s">
        <v>1028</v>
      </c>
      <c r="B821" s="184"/>
      <c r="C821" s="185">
        <f>SUM(C822:C856)</f>
        <v>2185</v>
      </c>
      <c r="D821" s="185">
        <f>SUM(D822:D856)</f>
        <v>2945</v>
      </c>
      <c r="E821" s="185">
        <f>SUM(E822:E856)</f>
        <v>3185.6000000000008</v>
      </c>
      <c r="F821" s="185">
        <f>SUM(F822:F856)</f>
        <v>4775.84</v>
      </c>
      <c r="G821" s="185">
        <f>SUM(G822:G856)</f>
        <v>22197.9136</v>
      </c>
      <c r="H821" s="184">
        <f>SUM(D821:G821)</f>
        <v>33104.353600000002</v>
      </c>
      <c r="I821" s="185">
        <f>SUM(I822:I856)</f>
        <v>6380.2301439999992</v>
      </c>
      <c r="J821" s="185">
        <f>SUM(J822:J856)</f>
        <v>7552.79934976</v>
      </c>
      <c r="K821" s="185">
        <f>SUM(K822:K856)</f>
        <v>7740.6313237504</v>
      </c>
      <c r="L821" s="185">
        <f>SUM(L822:L856)</f>
        <v>7311.7365767004158</v>
      </c>
      <c r="M821" s="184">
        <f>SUM(I821:L821)</f>
        <v>28985.397394210813</v>
      </c>
      <c r="N821" s="185">
        <f>SUM(N822:N856)</f>
        <v>28863.126039768431</v>
      </c>
      <c r="O821" s="185">
        <f>SUM(O822:O856)</f>
        <v>7727.8110813591702</v>
      </c>
      <c r="P821" s="185">
        <f>SUM(P822:P856)</f>
        <v>9046.8035246135369</v>
      </c>
      <c r="Q821" s="185">
        <f>SUM(Q822:Q856)</f>
        <v>9935.1156655980776</v>
      </c>
      <c r="R821" s="184">
        <f>SUM(N821:Q821)</f>
        <v>55572.856311339216</v>
      </c>
      <c r="S821" s="185">
        <f>SUM(S822:S856)</f>
        <v>9035</v>
      </c>
      <c r="T821" s="185">
        <f>SUM(T822:T856)</f>
        <v>36597</v>
      </c>
      <c r="U821" s="185">
        <f>SUM(U822:U856)</f>
        <v>9740</v>
      </c>
      <c r="V821" s="185">
        <f>SUM(V822:V856)</f>
        <v>11211</v>
      </c>
      <c r="W821" s="184">
        <f>SUM(S821:V821)</f>
        <v>66583</v>
      </c>
      <c r="X821" s="186">
        <v>42976</v>
      </c>
    </row>
    <row r="822" spans="1:24" s="119" customFormat="1" ht="12.75" x14ac:dyDescent="0.2">
      <c r="A822" s="270"/>
      <c r="B822" s="271" t="s">
        <v>450</v>
      </c>
      <c r="C822" s="272">
        <v>50</v>
      </c>
      <c r="D822" s="272">
        <v>70</v>
      </c>
      <c r="E822" s="272">
        <v>73</v>
      </c>
      <c r="F822" s="272">
        <v>79</v>
      </c>
      <c r="G822" s="272">
        <v>363</v>
      </c>
      <c r="H822" s="129">
        <v>585</v>
      </c>
      <c r="I822" s="272">
        <v>105</v>
      </c>
      <c r="J822" s="272">
        <v>156</v>
      </c>
      <c r="K822" s="272">
        <v>115</v>
      </c>
      <c r="L822" s="272">
        <v>121</v>
      </c>
      <c r="M822" s="129">
        <v>497</v>
      </c>
      <c r="N822" s="272">
        <v>466</v>
      </c>
      <c r="O822" s="272">
        <v>133</v>
      </c>
      <c r="P822" s="272">
        <v>199</v>
      </c>
      <c r="Q822" s="272">
        <v>147</v>
      </c>
      <c r="R822" s="129">
        <v>945</v>
      </c>
      <c r="S822" s="272">
        <v>154</v>
      </c>
      <c r="T822" s="272">
        <v>595</v>
      </c>
      <c r="U822" s="272">
        <v>170</v>
      </c>
      <c r="V822" s="272">
        <v>254</v>
      </c>
      <c r="W822" s="129">
        <v>1173</v>
      </c>
    </row>
    <row r="823" spans="1:24" s="119" customFormat="1" ht="12.75" x14ac:dyDescent="0.2">
      <c r="A823" s="273"/>
      <c r="B823" s="271" t="s">
        <v>443</v>
      </c>
      <c r="C823" s="272">
        <v>100</v>
      </c>
      <c r="D823" s="272">
        <v>120</v>
      </c>
      <c r="E823" s="272">
        <v>124.8</v>
      </c>
      <c r="F823" s="272">
        <v>160</v>
      </c>
      <c r="G823" s="272">
        <v>748</v>
      </c>
      <c r="H823" s="129">
        <v>1152.8</v>
      </c>
      <c r="I823" s="272">
        <v>195</v>
      </c>
      <c r="J823" s="272">
        <v>205</v>
      </c>
      <c r="K823" s="272">
        <v>312</v>
      </c>
      <c r="L823" s="272">
        <v>226</v>
      </c>
      <c r="M823" s="129">
        <v>938</v>
      </c>
      <c r="N823" s="272">
        <v>955</v>
      </c>
      <c r="O823" s="272">
        <v>149</v>
      </c>
      <c r="P823" s="272">
        <v>261</v>
      </c>
      <c r="Q823" s="272">
        <v>398</v>
      </c>
      <c r="R823" s="129">
        <v>1763</v>
      </c>
      <c r="S823" s="272">
        <v>288</v>
      </c>
      <c r="T823" s="272">
        <v>1219</v>
      </c>
      <c r="U823" s="272">
        <v>318</v>
      </c>
      <c r="V823" s="272">
        <v>333</v>
      </c>
      <c r="W823" s="129">
        <v>2158</v>
      </c>
    </row>
    <row r="824" spans="1:24" s="119" customFormat="1" ht="13.5" customHeight="1" x14ac:dyDescent="0.2">
      <c r="A824" s="273"/>
      <c r="B824" s="271" t="s">
        <v>451</v>
      </c>
      <c r="C824" s="272">
        <v>100</v>
      </c>
      <c r="D824" s="272">
        <v>120</v>
      </c>
      <c r="E824" s="272">
        <v>124.8</v>
      </c>
      <c r="F824" s="272">
        <v>158</v>
      </c>
      <c r="G824" s="272">
        <v>740</v>
      </c>
      <c r="H824" s="129">
        <v>1142.8</v>
      </c>
      <c r="I824" s="272">
        <v>186</v>
      </c>
      <c r="J824" s="272">
        <v>195</v>
      </c>
      <c r="K824" s="272">
        <v>259</v>
      </c>
      <c r="L824" s="272">
        <v>272</v>
      </c>
      <c r="M824" s="129">
        <v>912</v>
      </c>
      <c r="N824" s="272">
        <v>950</v>
      </c>
      <c r="O824" s="272">
        <v>243</v>
      </c>
      <c r="P824" s="272">
        <v>255</v>
      </c>
      <c r="Q824" s="272">
        <v>268</v>
      </c>
      <c r="R824" s="129">
        <v>1716</v>
      </c>
      <c r="S824" s="272">
        <v>346</v>
      </c>
      <c r="T824" s="272">
        <v>1280</v>
      </c>
      <c r="U824" s="272">
        <v>310</v>
      </c>
      <c r="V824" s="272">
        <v>326</v>
      </c>
      <c r="W824" s="129">
        <v>2262</v>
      </c>
    </row>
    <row r="825" spans="1:24" s="119" customFormat="1" ht="11.25" customHeight="1" x14ac:dyDescent="0.2">
      <c r="A825" s="273"/>
      <c r="B825" s="271" t="s">
        <v>452</v>
      </c>
      <c r="C825" s="272">
        <v>175</v>
      </c>
      <c r="D825" s="272"/>
      <c r="E825" s="272">
        <v>0</v>
      </c>
      <c r="F825" s="272">
        <v>0</v>
      </c>
      <c r="G825" s="272">
        <v>0</v>
      </c>
      <c r="H825" s="129">
        <v>0</v>
      </c>
      <c r="I825" s="272">
        <v>0</v>
      </c>
      <c r="J825" s="272">
        <v>0</v>
      </c>
      <c r="K825" s="272">
        <v>0</v>
      </c>
      <c r="L825" s="272">
        <v>0</v>
      </c>
      <c r="M825" s="129">
        <v>0</v>
      </c>
      <c r="N825" s="272">
        <v>0</v>
      </c>
      <c r="O825" s="272">
        <v>0</v>
      </c>
      <c r="P825" s="272">
        <v>0</v>
      </c>
      <c r="Q825" s="272">
        <v>0</v>
      </c>
      <c r="R825" s="129">
        <v>0</v>
      </c>
      <c r="S825" s="272"/>
      <c r="T825" s="272"/>
      <c r="U825" s="272"/>
      <c r="V825" s="272"/>
      <c r="W825" s="129">
        <v>0</v>
      </c>
    </row>
    <row r="826" spans="1:24" s="119" customFormat="1" ht="12.75" x14ac:dyDescent="0.2">
      <c r="A826" s="273"/>
      <c r="B826" s="271" t="s">
        <v>444</v>
      </c>
      <c r="C826" s="272">
        <v>100</v>
      </c>
      <c r="D826" s="272">
        <v>120</v>
      </c>
      <c r="E826" s="272">
        <v>124.8</v>
      </c>
      <c r="F826" s="272">
        <v>158</v>
      </c>
      <c r="G826" s="272">
        <v>740</v>
      </c>
      <c r="H826" s="129">
        <v>1142.8</v>
      </c>
      <c r="I826" s="272">
        <v>186</v>
      </c>
      <c r="J826" s="272">
        <v>195</v>
      </c>
      <c r="K826" s="272">
        <v>259</v>
      </c>
      <c r="L826" s="272">
        <v>272</v>
      </c>
      <c r="M826" s="129">
        <v>912</v>
      </c>
      <c r="N826" s="272">
        <v>950</v>
      </c>
      <c r="O826" s="272">
        <v>243</v>
      </c>
      <c r="P826" s="272">
        <v>255</v>
      </c>
      <c r="Q826" s="272">
        <v>268</v>
      </c>
      <c r="R826" s="129">
        <v>1716</v>
      </c>
      <c r="S826" s="272">
        <v>346</v>
      </c>
      <c r="T826" s="272">
        <v>1280</v>
      </c>
      <c r="U826" s="272">
        <v>310</v>
      </c>
      <c r="V826" s="272">
        <v>326</v>
      </c>
      <c r="W826" s="129">
        <v>2262</v>
      </c>
    </row>
    <row r="827" spans="1:24" s="119" customFormat="1" ht="12.75" x14ac:dyDescent="0.2">
      <c r="A827" s="273"/>
      <c r="B827" s="271" t="s">
        <v>454</v>
      </c>
      <c r="C827" s="272">
        <v>25</v>
      </c>
      <c r="D827" s="272">
        <v>70</v>
      </c>
      <c r="E827" s="272">
        <v>72.8</v>
      </c>
      <c r="F827" s="272">
        <v>146</v>
      </c>
      <c r="G827" s="272">
        <v>363</v>
      </c>
      <c r="H827" s="129">
        <v>651.79999999999995</v>
      </c>
      <c r="I827" s="272">
        <v>105</v>
      </c>
      <c r="J827" s="272">
        <v>156</v>
      </c>
      <c r="K827" s="272">
        <v>115</v>
      </c>
      <c r="L827" s="272">
        <v>121</v>
      </c>
      <c r="M827" s="129">
        <v>497</v>
      </c>
      <c r="N827" s="272">
        <v>466</v>
      </c>
      <c r="O827" s="272">
        <v>133</v>
      </c>
      <c r="P827" s="272">
        <v>199</v>
      </c>
      <c r="Q827" s="272">
        <v>147</v>
      </c>
      <c r="R827" s="129">
        <v>945</v>
      </c>
      <c r="S827" s="272">
        <v>154</v>
      </c>
      <c r="T827" s="272">
        <v>595</v>
      </c>
      <c r="U827" s="272">
        <v>170</v>
      </c>
      <c r="V827" s="272">
        <v>254</v>
      </c>
      <c r="W827" s="129">
        <v>1173</v>
      </c>
    </row>
    <row r="828" spans="1:24" s="119" customFormat="1" ht="12.75" x14ac:dyDescent="0.2">
      <c r="A828" s="273"/>
      <c r="B828" s="271" t="s">
        <v>692</v>
      </c>
      <c r="C828" s="272">
        <v>165</v>
      </c>
      <c r="D828" s="272">
        <v>150</v>
      </c>
      <c r="E828" s="272">
        <v>200</v>
      </c>
      <c r="F828" s="272">
        <v>375</v>
      </c>
      <c r="G828" s="272">
        <v>1746</v>
      </c>
      <c r="H828" s="129">
        <v>2471</v>
      </c>
      <c r="I828" s="272">
        <v>438</v>
      </c>
      <c r="J828" s="272">
        <v>553</v>
      </c>
      <c r="K828" s="272">
        <v>483</v>
      </c>
      <c r="L828" s="272">
        <v>507</v>
      </c>
      <c r="M828" s="129">
        <v>1981</v>
      </c>
      <c r="N828" s="272">
        <v>2228</v>
      </c>
      <c r="O828" s="272">
        <v>559</v>
      </c>
      <c r="P828" s="272">
        <v>587</v>
      </c>
      <c r="Q828" s="272">
        <v>617</v>
      </c>
      <c r="R828" s="129">
        <v>3991</v>
      </c>
      <c r="S828" s="272">
        <v>777</v>
      </c>
      <c r="T828" s="272">
        <v>2843</v>
      </c>
      <c r="U828" s="272">
        <v>714</v>
      </c>
      <c r="V828" s="272">
        <v>750</v>
      </c>
      <c r="W828" s="129">
        <v>5084</v>
      </c>
    </row>
    <row r="829" spans="1:24" s="119" customFormat="1" ht="12.75" x14ac:dyDescent="0.2">
      <c r="A829" s="273"/>
      <c r="B829" s="271" t="s">
        <v>440</v>
      </c>
      <c r="C829" s="272">
        <v>100</v>
      </c>
      <c r="D829" s="272">
        <v>120</v>
      </c>
      <c r="E829" s="272">
        <v>124.8</v>
      </c>
      <c r="F829" s="272">
        <v>176</v>
      </c>
      <c r="G829" s="272">
        <v>747</v>
      </c>
      <c r="H829" s="129">
        <v>1167.8</v>
      </c>
      <c r="I829" s="272">
        <v>237</v>
      </c>
      <c r="J829" s="272">
        <v>325</v>
      </c>
      <c r="K829" s="272">
        <v>292</v>
      </c>
      <c r="L829" s="272">
        <v>307</v>
      </c>
      <c r="M829" s="129">
        <v>1161</v>
      </c>
      <c r="N829" s="272">
        <v>1379</v>
      </c>
      <c r="O829" s="272">
        <v>338</v>
      </c>
      <c r="P829" s="272">
        <v>414</v>
      </c>
      <c r="Q829" s="272">
        <v>435</v>
      </c>
      <c r="R829" s="129">
        <v>2566</v>
      </c>
      <c r="S829" s="272">
        <v>350</v>
      </c>
      <c r="T829" s="272">
        <v>1649</v>
      </c>
      <c r="U829" s="272">
        <v>432</v>
      </c>
      <c r="V829" s="272">
        <v>453</v>
      </c>
      <c r="W829" s="129">
        <v>2884</v>
      </c>
    </row>
    <row r="830" spans="1:24" s="119" customFormat="1" ht="12.75" x14ac:dyDescent="0.2">
      <c r="A830" s="273"/>
      <c r="B830" s="271" t="s">
        <v>460</v>
      </c>
      <c r="C830" s="272">
        <v>50</v>
      </c>
      <c r="D830" s="272">
        <v>70</v>
      </c>
      <c r="E830" s="272">
        <v>73</v>
      </c>
      <c r="F830" s="272">
        <v>78</v>
      </c>
      <c r="G830" s="272">
        <v>363</v>
      </c>
      <c r="H830" s="129">
        <v>584</v>
      </c>
      <c r="I830" s="272">
        <v>102</v>
      </c>
      <c r="J830" s="272">
        <v>154</v>
      </c>
      <c r="K830" s="272">
        <v>113</v>
      </c>
      <c r="L830" s="272">
        <v>119</v>
      </c>
      <c r="M830" s="129">
        <v>488</v>
      </c>
      <c r="N830" s="272">
        <v>463</v>
      </c>
      <c r="O830" s="272">
        <v>131</v>
      </c>
      <c r="P830" s="272">
        <v>196</v>
      </c>
      <c r="Q830" s="272">
        <v>144</v>
      </c>
      <c r="R830" s="129">
        <v>934</v>
      </c>
      <c r="S830" s="272">
        <v>151</v>
      </c>
      <c r="T830" s="272">
        <v>591</v>
      </c>
      <c r="U830" s="272">
        <v>167</v>
      </c>
      <c r="V830" s="272">
        <v>251</v>
      </c>
      <c r="W830" s="129">
        <v>1160</v>
      </c>
    </row>
    <row r="831" spans="1:24" s="119" customFormat="1" ht="12.75" x14ac:dyDescent="0.2">
      <c r="A831" s="273"/>
      <c r="B831" s="271" t="s">
        <v>459</v>
      </c>
      <c r="C831" s="272">
        <v>50</v>
      </c>
      <c r="D831" s="272">
        <v>70</v>
      </c>
      <c r="E831" s="272">
        <v>125</v>
      </c>
      <c r="F831" s="272">
        <v>154</v>
      </c>
      <c r="G831" s="272">
        <v>735</v>
      </c>
      <c r="H831" s="129">
        <v>1084</v>
      </c>
      <c r="I831" s="272">
        <v>181</v>
      </c>
      <c r="J831" s="272">
        <v>358</v>
      </c>
      <c r="K831" s="272">
        <v>279</v>
      </c>
      <c r="L831" s="272">
        <v>293</v>
      </c>
      <c r="M831" s="129">
        <v>1111</v>
      </c>
      <c r="N831" s="272">
        <v>1026</v>
      </c>
      <c r="O831" s="272">
        <v>323</v>
      </c>
      <c r="P831" s="272">
        <v>339</v>
      </c>
      <c r="Q831" s="272">
        <v>356</v>
      </c>
      <c r="R831" s="129">
        <v>2044</v>
      </c>
      <c r="S831" s="272">
        <v>398</v>
      </c>
      <c r="T831" s="272">
        <v>1197</v>
      </c>
      <c r="U831" s="272">
        <v>412</v>
      </c>
      <c r="V831" s="272">
        <v>433</v>
      </c>
      <c r="W831" s="129">
        <v>2440</v>
      </c>
    </row>
    <row r="832" spans="1:24" s="119" customFormat="1" ht="12.75" x14ac:dyDescent="0.2">
      <c r="A832" s="273"/>
      <c r="B832" s="271" t="s">
        <v>461</v>
      </c>
      <c r="C832" s="272">
        <v>50</v>
      </c>
      <c r="D832" s="272">
        <v>70</v>
      </c>
      <c r="E832" s="272">
        <v>0</v>
      </c>
      <c r="F832" s="272">
        <v>83</v>
      </c>
      <c r="G832" s="272">
        <v>363</v>
      </c>
      <c r="H832" s="129">
        <v>516</v>
      </c>
      <c r="I832" s="272">
        <v>102</v>
      </c>
      <c r="J832" s="272">
        <v>154</v>
      </c>
      <c r="K832" s="272">
        <v>113</v>
      </c>
      <c r="L832" s="272">
        <v>119</v>
      </c>
      <c r="M832" s="129">
        <v>488</v>
      </c>
      <c r="N832" s="272">
        <v>463</v>
      </c>
      <c r="O832" s="272">
        <v>130</v>
      </c>
      <c r="P832" s="272">
        <v>196</v>
      </c>
      <c r="Q832" s="272">
        <v>144</v>
      </c>
      <c r="R832" s="129">
        <v>933</v>
      </c>
      <c r="S832" s="272">
        <v>151</v>
      </c>
      <c r="T832" s="272">
        <v>591</v>
      </c>
      <c r="U832" s="272">
        <v>167</v>
      </c>
      <c r="V832" s="272">
        <v>251</v>
      </c>
      <c r="W832" s="129">
        <v>1160</v>
      </c>
    </row>
    <row r="833" spans="1:23" s="119" customFormat="1" ht="12.75" x14ac:dyDescent="0.2">
      <c r="A833" s="273"/>
      <c r="B833" s="271" t="s">
        <v>462</v>
      </c>
      <c r="C833" s="272">
        <v>50</v>
      </c>
      <c r="D833" s="272">
        <v>70</v>
      </c>
      <c r="E833" s="272"/>
      <c r="F833" s="272">
        <v>144</v>
      </c>
      <c r="G833" s="272">
        <v>736</v>
      </c>
      <c r="H833" s="129">
        <v>950</v>
      </c>
      <c r="I833" s="272">
        <v>182</v>
      </c>
      <c r="J833" s="272">
        <v>191</v>
      </c>
      <c r="K833" s="272">
        <v>298</v>
      </c>
      <c r="L833" s="272">
        <v>210</v>
      </c>
      <c r="M833" s="129">
        <v>881</v>
      </c>
      <c r="N833" s="272">
        <v>939</v>
      </c>
      <c r="O833" s="272">
        <v>232</v>
      </c>
      <c r="P833" s="272">
        <v>244</v>
      </c>
      <c r="Q833" s="272">
        <v>380</v>
      </c>
      <c r="R833" s="129">
        <v>1795</v>
      </c>
      <c r="S833" s="272">
        <v>268</v>
      </c>
      <c r="T833" s="272">
        <v>1198</v>
      </c>
      <c r="U833" s="272">
        <v>296</v>
      </c>
      <c r="V833" s="272">
        <v>311</v>
      </c>
      <c r="W833" s="129">
        <v>2073</v>
      </c>
    </row>
    <row r="834" spans="1:23" s="119" customFormat="1" ht="12.75" x14ac:dyDescent="0.2">
      <c r="A834" s="273"/>
      <c r="B834" s="271" t="s">
        <v>436</v>
      </c>
      <c r="C834" s="272">
        <v>50</v>
      </c>
      <c r="D834" s="272">
        <v>70</v>
      </c>
      <c r="E834" s="272"/>
      <c r="F834" s="272">
        <v>152</v>
      </c>
      <c r="G834" s="272">
        <v>733</v>
      </c>
      <c r="H834" s="129">
        <v>955</v>
      </c>
      <c r="I834" s="272">
        <v>179</v>
      </c>
      <c r="J834" s="272">
        <v>188</v>
      </c>
      <c r="K834" s="272">
        <v>295</v>
      </c>
      <c r="L834" s="272">
        <v>207</v>
      </c>
      <c r="M834" s="129">
        <v>869</v>
      </c>
      <c r="N834" s="272">
        <v>936</v>
      </c>
      <c r="O834" s="272">
        <v>229</v>
      </c>
      <c r="P834" s="272">
        <v>240</v>
      </c>
      <c r="Q834" s="272">
        <v>376</v>
      </c>
      <c r="R834" s="129">
        <v>1781</v>
      </c>
      <c r="S834" s="272">
        <v>265</v>
      </c>
      <c r="T834" s="272">
        <v>1194</v>
      </c>
      <c r="U834" s="272">
        <v>292</v>
      </c>
      <c r="V834" s="272">
        <v>307</v>
      </c>
      <c r="W834" s="129">
        <v>2058</v>
      </c>
    </row>
    <row r="835" spans="1:23" s="119" customFormat="1" ht="12.75" x14ac:dyDescent="0.2">
      <c r="A835" s="273"/>
      <c r="B835" s="271" t="s">
        <v>463</v>
      </c>
      <c r="C835" s="272">
        <v>25</v>
      </c>
      <c r="D835" s="272">
        <v>70</v>
      </c>
      <c r="E835" s="272"/>
      <c r="F835" s="272">
        <v>83</v>
      </c>
      <c r="G835" s="272">
        <v>363</v>
      </c>
      <c r="H835" s="129">
        <v>516</v>
      </c>
      <c r="I835" s="272">
        <v>105</v>
      </c>
      <c r="J835" s="272">
        <v>156</v>
      </c>
      <c r="K835" s="272">
        <v>115</v>
      </c>
      <c r="L835" s="272">
        <v>121</v>
      </c>
      <c r="M835" s="129">
        <v>497</v>
      </c>
      <c r="N835" s="272">
        <v>466</v>
      </c>
      <c r="O835" s="272">
        <v>133</v>
      </c>
      <c r="P835" s="272">
        <v>199</v>
      </c>
      <c r="Q835" s="272">
        <v>147</v>
      </c>
      <c r="R835" s="129">
        <v>945</v>
      </c>
      <c r="S835" s="272">
        <v>154</v>
      </c>
      <c r="T835" s="272">
        <v>595</v>
      </c>
      <c r="U835" s="272">
        <v>170</v>
      </c>
      <c r="V835" s="272">
        <v>254</v>
      </c>
      <c r="W835" s="129">
        <v>1173</v>
      </c>
    </row>
    <row r="836" spans="1:23" s="119" customFormat="1" ht="12.75" x14ac:dyDescent="0.2">
      <c r="A836" s="273"/>
      <c r="B836" s="271" t="s">
        <v>438</v>
      </c>
      <c r="C836" s="272">
        <v>50</v>
      </c>
      <c r="D836" s="272">
        <v>120</v>
      </c>
      <c r="E836" s="272">
        <v>124.8</v>
      </c>
      <c r="F836" s="272">
        <v>156</v>
      </c>
      <c r="G836" s="272">
        <v>1079</v>
      </c>
      <c r="H836" s="129">
        <v>1479.8</v>
      </c>
      <c r="I836" s="272">
        <v>300</v>
      </c>
      <c r="J836" s="272">
        <v>322</v>
      </c>
      <c r="K836" s="272">
        <v>338</v>
      </c>
      <c r="L836" s="272">
        <v>304</v>
      </c>
      <c r="M836" s="129">
        <v>1264</v>
      </c>
      <c r="N836" s="272">
        <v>1377</v>
      </c>
      <c r="O836" s="272">
        <v>335</v>
      </c>
      <c r="P836" s="272">
        <v>352</v>
      </c>
      <c r="Q836" s="272">
        <v>432</v>
      </c>
      <c r="R836" s="129">
        <v>2496</v>
      </c>
      <c r="S836" s="272">
        <v>347</v>
      </c>
      <c r="T836" s="272">
        <v>1713</v>
      </c>
      <c r="U836" s="272">
        <v>428</v>
      </c>
      <c r="V836" s="272">
        <v>450</v>
      </c>
      <c r="W836" s="129">
        <v>2938</v>
      </c>
    </row>
    <row r="837" spans="1:23" s="119" customFormat="1" ht="12.75" x14ac:dyDescent="0.2">
      <c r="A837" s="273"/>
      <c r="B837" s="271" t="s">
        <v>694</v>
      </c>
      <c r="C837" s="272">
        <v>25</v>
      </c>
      <c r="D837" s="272">
        <v>70</v>
      </c>
      <c r="E837" s="272">
        <v>72.8</v>
      </c>
      <c r="F837" s="272">
        <v>150</v>
      </c>
      <c r="G837" s="272">
        <v>804</v>
      </c>
      <c r="H837" s="129">
        <v>1096.8</v>
      </c>
      <c r="I837" s="272">
        <v>253</v>
      </c>
      <c r="J837" s="272">
        <v>271</v>
      </c>
      <c r="K837" s="272">
        <v>381</v>
      </c>
      <c r="L837" s="272">
        <v>298</v>
      </c>
      <c r="M837" s="129">
        <v>1203</v>
      </c>
      <c r="N837" s="272">
        <v>1031</v>
      </c>
      <c r="O837" s="272">
        <v>329</v>
      </c>
      <c r="P837" s="272">
        <v>345</v>
      </c>
      <c r="Q837" s="272">
        <v>487</v>
      </c>
      <c r="R837" s="129">
        <v>2192</v>
      </c>
      <c r="S837" s="272">
        <v>274</v>
      </c>
      <c r="T837" s="272">
        <v>1204</v>
      </c>
      <c r="U837" s="272">
        <v>420</v>
      </c>
      <c r="V837" s="272">
        <v>441</v>
      </c>
      <c r="W837" s="129">
        <v>2339</v>
      </c>
    </row>
    <row r="838" spans="1:23" s="119" customFormat="1" ht="12.75" x14ac:dyDescent="0.2">
      <c r="A838" s="273"/>
      <c r="B838" s="271" t="s">
        <v>465</v>
      </c>
      <c r="C838" s="272">
        <v>50</v>
      </c>
      <c r="D838" s="272">
        <v>70</v>
      </c>
      <c r="E838" s="272">
        <v>72.8</v>
      </c>
      <c r="F838" s="272">
        <v>83</v>
      </c>
      <c r="G838" s="272">
        <v>365</v>
      </c>
      <c r="H838" s="129">
        <v>590.79999999999995</v>
      </c>
      <c r="I838" s="272">
        <v>105</v>
      </c>
      <c r="J838" s="272">
        <v>156</v>
      </c>
      <c r="K838" s="272">
        <v>115</v>
      </c>
      <c r="L838" s="272">
        <v>121</v>
      </c>
      <c r="M838" s="129">
        <v>497</v>
      </c>
      <c r="N838" s="272">
        <v>466</v>
      </c>
      <c r="O838" s="272">
        <v>133</v>
      </c>
      <c r="P838" s="272">
        <v>199</v>
      </c>
      <c r="Q838" s="272">
        <v>147</v>
      </c>
      <c r="R838" s="129">
        <v>945</v>
      </c>
      <c r="S838" s="272">
        <v>154</v>
      </c>
      <c r="T838" s="272">
        <v>595</v>
      </c>
      <c r="U838" s="272">
        <v>170</v>
      </c>
      <c r="V838" s="272">
        <v>254</v>
      </c>
      <c r="W838" s="129">
        <v>1173</v>
      </c>
    </row>
    <row r="839" spans="1:23" s="119" customFormat="1" ht="12.75" x14ac:dyDescent="0.2">
      <c r="A839" s="273"/>
      <c r="B839" s="271" t="s">
        <v>467</v>
      </c>
      <c r="C839" s="272">
        <v>90</v>
      </c>
      <c r="D839" s="272">
        <v>120</v>
      </c>
      <c r="E839" s="272">
        <v>124.8</v>
      </c>
      <c r="F839" s="272">
        <v>227</v>
      </c>
      <c r="G839" s="272">
        <v>1078</v>
      </c>
      <c r="H839" s="129">
        <v>1549.8</v>
      </c>
      <c r="I839" s="272">
        <v>306</v>
      </c>
      <c r="J839" s="272">
        <v>321</v>
      </c>
      <c r="K839" s="272">
        <v>337</v>
      </c>
      <c r="L839" s="272">
        <v>303</v>
      </c>
      <c r="M839" s="129">
        <v>1267</v>
      </c>
      <c r="N839" s="272">
        <v>1376</v>
      </c>
      <c r="O839" s="272">
        <v>334</v>
      </c>
      <c r="P839" s="272">
        <v>351</v>
      </c>
      <c r="Q839" s="272">
        <v>431</v>
      </c>
      <c r="R839" s="129">
        <v>2492</v>
      </c>
      <c r="S839" s="272">
        <v>452</v>
      </c>
      <c r="T839" s="272">
        <v>1823</v>
      </c>
      <c r="U839" s="272">
        <v>427</v>
      </c>
      <c r="V839" s="272">
        <v>448</v>
      </c>
      <c r="W839" s="129">
        <v>3150</v>
      </c>
    </row>
    <row r="840" spans="1:23" s="119" customFormat="1" ht="12.75" x14ac:dyDescent="0.2">
      <c r="A840" s="273"/>
      <c r="B840" s="271" t="s">
        <v>445</v>
      </c>
      <c r="C840" s="272">
        <v>90</v>
      </c>
      <c r="D840" s="272">
        <v>120</v>
      </c>
      <c r="E840" s="272">
        <v>124.8</v>
      </c>
      <c r="F840" s="272">
        <v>152</v>
      </c>
      <c r="G840" s="272">
        <v>736</v>
      </c>
      <c r="H840" s="129">
        <v>1132.8</v>
      </c>
      <c r="I840" s="272">
        <v>182</v>
      </c>
      <c r="J840" s="272">
        <v>191</v>
      </c>
      <c r="K840" s="272">
        <v>298</v>
      </c>
      <c r="L840" s="272">
        <v>210</v>
      </c>
      <c r="M840" s="129">
        <v>881</v>
      </c>
      <c r="N840" s="272">
        <v>939</v>
      </c>
      <c r="O840" s="272">
        <v>232</v>
      </c>
      <c r="P840" s="272">
        <v>244</v>
      </c>
      <c r="Q840" s="272">
        <v>380</v>
      </c>
      <c r="R840" s="129">
        <v>1795</v>
      </c>
      <c r="S840" s="272">
        <v>268</v>
      </c>
      <c r="T840" s="272">
        <v>1198</v>
      </c>
      <c r="U840" s="272">
        <v>296</v>
      </c>
      <c r="V840" s="272">
        <v>311</v>
      </c>
      <c r="W840" s="129">
        <v>2073</v>
      </c>
    </row>
    <row r="841" spans="1:23" s="119" customFormat="1" ht="12.75" x14ac:dyDescent="0.2">
      <c r="A841" s="273"/>
      <c r="B841" s="271" t="s">
        <v>469</v>
      </c>
      <c r="C841" s="272">
        <v>90</v>
      </c>
      <c r="D841" s="272">
        <v>70</v>
      </c>
      <c r="E841" s="272">
        <v>72.8</v>
      </c>
      <c r="F841" s="272">
        <v>156</v>
      </c>
      <c r="G841" s="272">
        <v>738</v>
      </c>
      <c r="H841" s="129">
        <v>1036.8</v>
      </c>
      <c r="I841" s="272">
        <v>184</v>
      </c>
      <c r="J841" s="272">
        <v>193</v>
      </c>
      <c r="K841" s="272">
        <v>300</v>
      </c>
      <c r="L841" s="272">
        <v>213</v>
      </c>
      <c r="M841" s="129">
        <v>890</v>
      </c>
      <c r="N841" s="272">
        <v>942</v>
      </c>
      <c r="O841" s="272">
        <v>235</v>
      </c>
      <c r="P841" s="272">
        <v>246</v>
      </c>
      <c r="Q841" s="272">
        <v>383</v>
      </c>
      <c r="R841" s="129">
        <v>1806</v>
      </c>
      <c r="S841" s="272">
        <v>272</v>
      </c>
      <c r="T841" s="272">
        <v>1201</v>
      </c>
      <c r="U841" s="272">
        <v>300</v>
      </c>
      <c r="V841" s="272">
        <v>315</v>
      </c>
      <c r="W841" s="129">
        <v>2088</v>
      </c>
    </row>
    <row r="842" spans="1:23" s="119" customFormat="1" ht="12.75" x14ac:dyDescent="0.2">
      <c r="A842" s="273"/>
      <c r="B842" s="271" t="s">
        <v>470</v>
      </c>
      <c r="C842" s="272">
        <v>25</v>
      </c>
      <c r="D842" s="272">
        <v>70</v>
      </c>
      <c r="E842" s="272">
        <v>72.8</v>
      </c>
      <c r="F842" s="272">
        <v>82</v>
      </c>
      <c r="G842" s="272">
        <v>365</v>
      </c>
      <c r="H842" s="129">
        <v>589.79999999999995</v>
      </c>
      <c r="I842" s="272">
        <v>105</v>
      </c>
      <c r="J842" s="272">
        <v>156</v>
      </c>
      <c r="K842" s="272">
        <v>115</v>
      </c>
      <c r="L842" s="272">
        <v>121</v>
      </c>
      <c r="M842" s="129">
        <v>497</v>
      </c>
      <c r="N842" s="272">
        <v>466</v>
      </c>
      <c r="O842" s="272">
        <v>133</v>
      </c>
      <c r="P842" s="272">
        <v>199</v>
      </c>
      <c r="Q842" s="272">
        <v>147</v>
      </c>
      <c r="R842" s="129">
        <v>945</v>
      </c>
      <c r="S842" s="272">
        <v>154</v>
      </c>
      <c r="T842" s="272">
        <v>595</v>
      </c>
      <c r="U842" s="272">
        <v>170</v>
      </c>
      <c r="V842" s="272">
        <v>254</v>
      </c>
      <c r="W842" s="129">
        <v>1173</v>
      </c>
    </row>
    <row r="843" spans="1:23" s="119" customFormat="1" ht="12.75" x14ac:dyDescent="0.2">
      <c r="A843" s="273"/>
      <c r="B843" s="271" t="s">
        <v>471</v>
      </c>
      <c r="C843" s="272">
        <v>50</v>
      </c>
      <c r="D843" s="272">
        <v>70</v>
      </c>
      <c r="E843" s="272">
        <v>72.8</v>
      </c>
      <c r="F843" s="272">
        <v>83</v>
      </c>
      <c r="G843" s="272">
        <v>365</v>
      </c>
      <c r="H843" s="129">
        <v>590.79999999999995</v>
      </c>
      <c r="I843" s="272">
        <v>105</v>
      </c>
      <c r="J843" s="272">
        <v>156</v>
      </c>
      <c r="K843" s="272">
        <v>115</v>
      </c>
      <c r="L843" s="272">
        <v>121</v>
      </c>
      <c r="M843" s="129">
        <v>497</v>
      </c>
      <c r="N843" s="272">
        <v>466</v>
      </c>
      <c r="O843" s="272">
        <v>133</v>
      </c>
      <c r="P843" s="272">
        <v>199</v>
      </c>
      <c r="Q843" s="272">
        <v>147</v>
      </c>
      <c r="R843" s="129">
        <v>945</v>
      </c>
      <c r="S843" s="272">
        <v>154</v>
      </c>
      <c r="T843" s="272">
        <v>595</v>
      </c>
      <c r="U843" s="272">
        <v>170</v>
      </c>
      <c r="V843" s="272">
        <v>254</v>
      </c>
      <c r="W843" s="129">
        <v>1173</v>
      </c>
    </row>
    <row r="844" spans="1:23" s="119" customFormat="1" ht="12.75" x14ac:dyDescent="0.2">
      <c r="A844" s="273"/>
      <c r="B844" s="271" t="s">
        <v>473</v>
      </c>
      <c r="C844" s="272">
        <v>100</v>
      </c>
      <c r="D844" s="272">
        <v>120</v>
      </c>
      <c r="E844" s="272">
        <v>124.8</v>
      </c>
      <c r="F844" s="272">
        <v>162</v>
      </c>
      <c r="G844" s="272">
        <v>736</v>
      </c>
      <c r="H844" s="129">
        <v>1142.8</v>
      </c>
      <c r="I844" s="272">
        <v>226</v>
      </c>
      <c r="J844" s="272">
        <v>191</v>
      </c>
      <c r="K844" s="272">
        <v>200</v>
      </c>
      <c r="L844" s="272">
        <v>261</v>
      </c>
      <c r="M844" s="129">
        <v>878</v>
      </c>
      <c r="N844" s="272">
        <v>939</v>
      </c>
      <c r="O844" s="272">
        <v>232</v>
      </c>
      <c r="P844" s="272">
        <v>244</v>
      </c>
      <c r="Q844" s="272">
        <v>318</v>
      </c>
      <c r="R844" s="129">
        <v>1733</v>
      </c>
      <c r="S844" s="272">
        <v>268</v>
      </c>
      <c r="T844" s="272">
        <v>1266</v>
      </c>
      <c r="U844" s="272">
        <v>296</v>
      </c>
      <c r="V844" s="272">
        <v>311</v>
      </c>
      <c r="W844" s="129">
        <v>2141</v>
      </c>
    </row>
    <row r="845" spans="1:23" s="136" customFormat="1" ht="12.75" x14ac:dyDescent="0.2">
      <c r="A845" s="273"/>
      <c r="B845" s="271" t="s">
        <v>1029</v>
      </c>
      <c r="C845" s="272"/>
      <c r="D845" s="272">
        <v>45</v>
      </c>
      <c r="E845" s="272">
        <v>46.8</v>
      </c>
      <c r="F845" s="272">
        <v>83</v>
      </c>
      <c r="G845" s="272">
        <v>365</v>
      </c>
      <c r="H845" s="129">
        <v>539.79999999999995</v>
      </c>
      <c r="I845" s="272">
        <v>105</v>
      </c>
      <c r="J845" s="272">
        <v>156</v>
      </c>
      <c r="K845" s="272">
        <v>115</v>
      </c>
      <c r="L845" s="272">
        <v>121</v>
      </c>
      <c r="M845" s="129">
        <v>497</v>
      </c>
      <c r="N845" s="272">
        <v>466</v>
      </c>
      <c r="O845" s="272">
        <v>133</v>
      </c>
      <c r="P845" s="272">
        <v>199</v>
      </c>
      <c r="Q845" s="272">
        <v>147</v>
      </c>
      <c r="R845" s="129">
        <v>945</v>
      </c>
      <c r="S845" s="272">
        <v>154</v>
      </c>
      <c r="T845" s="272">
        <v>595</v>
      </c>
      <c r="U845" s="272">
        <v>170</v>
      </c>
      <c r="V845" s="272">
        <v>254</v>
      </c>
      <c r="W845" s="129">
        <v>1173</v>
      </c>
    </row>
    <row r="846" spans="1:23" s="119" customFormat="1" ht="12.75" x14ac:dyDescent="0.2">
      <c r="A846" s="273"/>
      <c r="B846" s="271" t="s">
        <v>1030</v>
      </c>
      <c r="C846" s="272"/>
      <c r="D846" s="272"/>
      <c r="E846" s="272">
        <v>73</v>
      </c>
      <c r="F846" s="272">
        <v>75.92</v>
      </c>
      <c r="G846" s="272">
        <v>78.956800000000001</v>
      </c>
      <c r="H846" s="129">
        <v>227.8768</v>
      </c>
      <c r="I846" s="272">
        <v>82.115071999999998</v>
      </c>
      <c r="J846" s="272">
        <v>85.399674879999992</v>
      </c>
      <c r="K846" s="272">
        <v>88.815661875199993</v>
      </c>
      <c r="L846" s="272">
        <v>92.36828835020799</v>
      </c>
      <c r="M846" s="129">
        <v>348.69869710540797</v>
      </c>
      <c r="N846" s="272">
        <v>96.063019884216317</v>
      </c>
      <c r="O846" s="272">
        <v>99.905540679584973</v>
      </c>
      <c r="P846" s="272">
        <v>103.90176230676838</v>
      </c>
      <c r="Q846" s="272">
        <v>108.0578327990391</v>
      </c>
      <c r="R846" s="129">
        <v>407.92815566960877</v>
      </c>
      <c r="S846" s="272"/>
      <c r="T846" s="272"/>
      <c r="U846" s="272"/>
      <c r="V846" s="272"/>
      <c r="W846" s="129">
        <v>0</v>
      </c>
    </row>
    <row r="847" spans="1:23" s="119" customFormat="1" ht="12.75" x14ac:dyDescent="0.2">
      <c r="A847" s="273"/>
      <c r="B847" s="271" t="s">
        <v>446</v>
      </c>
      <c r="C847" s="272">
        <v>100</v>
      </c>
      <c r="D847" s="272">
        <v>120</v>
      </c>
      <c r="E847" s="272">
        <v>124.8</v>
      </c>
      <c r="F847" s="272">
        <v>167</v>
      </c>
      <c r="G847" s="272">
        <v>1079</v>
      </c>
      <c r="H847" s="129">
        <v>1490.8</v>
      </c>
      <c r="I847" s="272">
        <v>307</v>
      </c>
      <c r="J847" s="272">
        <v>323</v>
      </c>
      <c r="K847" s="272">
        <v>339</v>
      </c>
      <c r="L847" s="272">
        <v>305</v>
      </c>
      <c r="M847" s="129">
        <v>1274</v>
      </c>
      <c r="N847" s="272">
        <v>1377</v>
      </c>
      <c r="O847" s="272">
        <v>336</v>
      </c>
      <c r="P847" s="272">
        <v>353</v>
      </c>
      <c r="Q847" s="272">
        <v>433</v>
      </c>
      <c r="R847" s="129">
        <v>2499</v>
      </c>
      <c r="S847" s="272">
        <v>454</v>
      </c>
      <c r="T847" s="272">
        <v>1826</v>
      </c>
      <c r="U847" s="272">
        <v>429</v>
      </c>
      <c r="V847" s="272">
        <v>450</v>
      </c>
      <c r="W847" s="129">
        <v>3159</v>
      </c>
    </row>
    <row r="848" spans="1:23" s="119" customFormat="1" ht="12.75" x14ac:dyDescent="0.2">
      <c r="A848" s="273"/>
      <c r="B848" s="271" t="s">
        <v>699</v>
      </c>
      <c r="C848" s="272"/>
      <c r="D848" s="272"/>
      <c r="E848" s="272">
        <v>73</v>
      </c>
      <c r="F848" s="272">
        <v>75.92</v>
      </c>
      <c r="G848" s="272">
        <v>78.956800000000001</v>
      </c>
      <c r="H848" s="129">
        <v>227.8768</v>
      </c>
      <c r="I848" s="272">
        <v>82.115071999999998</v>
      </c>
      <c r="J848" s="272">
        <v>85.399674879999992</v>
      </c>
      <c r="K848" s="272">
        <v>88.815661875199993</v>
      </c>
      <c r="L848" s="272">
        <v>92.36828835020799</v>
      </c>
      <c r="M848" s="129">
        <v>348.69869710540797</v>
      </c>
      <c r="N848" s="272">
        <v>96.063019884216317</v>
      </c>
      <c r="O848" s="272">
        <v>99.905540679584973</v>
      </c>
      <c r="P848" s="272">
        <v>103.90176230676838</v>
      </c>
      <c r="Q848" s="272">
        <v>108.0578327990391</v>
      </c>
      <c r="R848" s="129">
        <v>407.92815566960877</v>
      </c>
      <c r="S848" s="272"/>
      <c r="T848" s="272"/>
      <c r="U848" s="272"/>
      <c r="V848" s="272"/>
      <c r="W848" s="129">
        <v>0</v>
      </c>
    </row>
    <row r="849" spans="1:24" s="119" customFormat="1" ht="12.75" x14ac:dyDescent="0.2">
      <c r="A849" s="273"/>
      <c r="B849" s="271" t="s">
        <v>476</v>
      </c>
      <c r="C849" s="272">
        <v>50</v>
      </c>
      <c r="D849" s="272">
        <v>70</v>
      </c>
      <c r="E849" s="272">
        <v>72.8</v>
      </c>
      <c r="F849" s="272">
        <v>154</v>
      </c>
      <c r="G849" s="272">
        <v>507</v>
      </c>
      <c r="H849" s="129">
        <v>803.8</v>
      </c>
      <c r="I849" s="272">
        <v>253</v>
      </c>
      <c r="J849" s="272">
        <v>312</v>
      </c>
      <c r="K849" s="272">
        <v>279</v>
      </c>
      <c r="L849" s="272">
        <v>293</v>
      </c>
      <c r="M849" s="129">
        <v>1137</v>
      </c>
      <c r="N849" s="272">
        <v>647</v>
      </c>
      <c r="O849" s="272">
        <v>323</v>
      </c>
      <c r="P849" s="272">
        <v>398</v>
      </c>
      <c r="Q849" s="272">
        <v>356</v>
      </c>
      <c r="R849" s="129">
        <v>1724</v>
      </c>
      <c r="S849" s="272">
        <v>268</v>
      </c>
      <c r="T849" s="272">
        <v>713</v>
      </c>
      <c r="U849" s="272">
        <v>412</v>
      </c>
      <c r="V849" s="272">
        <v>509</v>
      </c>
      <c r="W849" s="129">
        <v>1902</v>
      </c>
    </row>
    <row r="850" spans="1:24" s="119" customFormat="1" ht="12.75" x14ac:dyDescent="0.2">
      <c r="A850" s="273"/>
      <c r="B850" s="271" t="s">
        <v>477</v>
      </c>
      <c r="C850" s="272">
        <v>50</v>
      </c>
      <c r="D850" s="272">
        <v>70</v>
      </c>
      <c r="E850" s="272">
        <v>72.8</v>
      </c>
      <c r="F850" s="272">
        <v>83</v>
      </c>
      <c r="G850" s="272">
        <v>363</v>
      </c>
      <c r="H850" s="129">
        <v>588.79999999999995</v>
      </c>
      <c r="I850" s="272">
        <v>105</v>
      </c>
      <c r="J850" s="272">
        <v>156</v>
      </c>
      <c r="K850" s="272">
        <v>115</v>
      </c>
      <c r="L850" s="272">
        <v>121</v>
      </c>
      <c r="M850" s="129">
        <v>497</v>
      </c>
      <c r="N850" s="272">
        <v>466</v>
      </c>
      <c r="O850" s="272">
        <v>133</v>
      </c>
      <c r="P850" s="272">
        <v>199</v>
      </c>
      <c r="Q850" s="272">
        <v>147</v>
      </c>
      <c r="R850" s="129">
        <v>945</v>
      </c>
      <c r="S850" s="272">
        <v>154</v>
      </c>
      <c r="T850" s="272">
        <v>595</v>
      </c>
      <c r="U850" s="272">
        <v>170</v>
      </c>
      <c r="V850" s="272">
        <v>254</v>
      </c>
      <c r="W850" s="129">
        <v>1173</v>
      </c>
    </row>
    <row r="851" spans="1:24" s="119" customFormat="1" ht="12.75" x14ac:dyDescent="0.2">
      <c r="A851" s="273"/>
      <c r="B851" s="271" t="s">
        <v>478</v>
      </c>
      <c r="C851" s="272">
        <v>25</v>
      </c>
      <c r="D851" s="272">
        <v>70</v>
      </c>
      <c r="E851" s="272">
        <v>72.8</v>
      </c>
      <c r="F851" s="272">
        <v>83</v>
      </c>
      <c r="G851" s="272">
        <v>363</v>
      </c>
      <c r="H851" s="129">
        <v>588.79999999999995</v>
      </c>
      <c r="I851" s="272">
        <v>105</v>
      </c>
      <c r="J851" s="272">
        <v>156</v>
      </c>
      <c r="K851" s="272">
        <v>115</v>
      </c>
      <c r="L851" s="272">
        <v>121</v>
      </c>
      <c r="M851" s="129">
        <v>497</v>
      </c>
      <c r="N851" s="272">
        <v>466</v>
      </c>
      <c r="O851" s="272">
        <v>133</v>
      </c>
      <c r="P851" s="272">
        <v>199</v>
      </c>
      <c r="Q851" s="272">
        <v>147</v>
      </c>
      <c r="R851" s="129">
        <v>945</v>
      </c>
      <c r="S851" s="272">
        <v>154</v>
      </c>
      <c r="T851" s="272">
        <v>594</v>
      </c>
      <c r="U851" s="272">
        <v>170</v>
      </c>
      <c r="V851" s="272">
        <v>254</v>
      </c>
      <c r="W851" s="129">
        <v>1172</v>
      </c>
    </row>
    <row r="852" spans="1:24" s="119" customFormat="1" ht="12.75" x14ac:dyDescent="0.2">
      <c r="A852" s="273"/>
      <c r="B852" s="271" t="s">
        <v>479</v>
      </c>
      <c r="C852" s="272">
        <v>100</v>
      </c>
      <c r="D852" s="272">
        <v>120</v>
      </c>
      <c r="E852" s="272">
        <v>124.8</v>
      </c>
      <c r="F852" s="272">
        <v>154</v>
      </c>
      <c r="G852" s="272">
        <v>736</v>
      </c>
      <c r="H852" s="129">
        <v>1134.8</v>
      </c>
      <c r="I852" s="272">
        <v>226</v>
      </c>
      <c r="J852" s="272">
        <v>191</v>
      </c>
      <c r="K852" s="272">
        <v>200</v>
      </c>
      <c r="L852" s="272">
        <v>261</v>
      </c>
      <c r="M852" s="129">
        <v>878</v>
      </c>
      <c r="N852" s="272">
        <v>939</v>
      </c>
      <c r="O852" s="272">
        <v>232</v>
      </c>
      <c r="P852" s="272">
        <v>244</v>
      </c>
      <c r="Q852" s="272">
        <v>318</v>
      </c>
      <c r="R852" s="129">
        <v>1733</v>
      </c>
      <c r="S852" s="272">
        <v>268</v>
      </c>
      <c r="T852" s="272">
        <v>1266</v>
      </c>
      <c r="U852" s="272">
        <v>296</v>
      </c>
      <c r="V852" s="272">
        <v>311</v>
      </c>
      <c r="W852" s="129">
        <v>2141</v>
      </c>
    </row>
    <row r="853" spans="1:24" s="119" customFormat="1" ht="12.75" x14ac:dyDescent="0.2">
      <c r="A853" s="273"/>
      <c r="B853" s="271" t="s">
        <v>481</v>
      </c>
      <c r="C853" s="272">
        <v>100</v>
      </c>
      <c r="D853" s="272">
        <v>120</v>
      </c>
      <c r="E853" s="272">
        <v>124.8</v>
      </c>
      <c r="F853" s="272">
        <v>156</v>
      </c>
      <c r="G853" s="272">
        <v>1087</v>
      </c>
      <c r="H853" s="129">
        <v>1487.8</v>
      </c>
      <c r="I853" s="272">
        <v>316</v>
      </c>
      <c r="J853" s="272">
        <v>332</v>
      </c>
      <c r="K853" s="272">
        <v>348</v>
      </c>
      <c r="L853" s="272">
        <v>314</v>
      </c>
      <c r="M853" s="129">
        <v>1310</v>
      </c>
      <c r="N853" s="272">
        <v>1387</v>
      </c>
      <c r="O853" s="272">
        <v>347</v>
      </c>
      <c r="P853" s="272">
        <v>364</v>
      </c>
      <c r="Q853" s="272">
        <v>444</v>
      </c>
      <c r="R853" s="129">
        <v>2542</v>
      </c>
      <c r="S853" s="272">
        <v>360</v>
      </c>
      <c r="T853" s="272">
        <v>1727</v>
      </c>
      <c r="U853" s="272">
        <v>442</v>
      </c>
      <c r="V853" s="272">
        <v>465</v>
      </c>
      <c r="W853" s="129">
        <v>2994</v>
      </c>
    </row>
    <row r="854" spans="1:24" s="119" customFormat="1" ht="12.75" x14ac:dyDescent="0.2">
      <c r="A854" s="273"/>
      <c r="B854" s="271" t="s">
        <v>442</v>
      </c>
      <c r="C854" s="272">
        <v>100</v>
      </c>
      <c r="D854" s="272">
        <v>120</v>
      </c>
      <c r="E854" s="272">
        <v>124.8</v>
      </c>
      <c r="F854" s="272">
        <v>220</v>
      </c>
      <c r="G854" s="272">
        <v>1079</v>
      </c>
      <c r="H854" s="129">
        <v>1543.8</v>
      </c>
      <c r="I854" s="272">
        <v>307</v>
      </c>
      <c r="J854" s="272">
        <v>323</v>
      </c>
      <c r="K854" s="272">
        <v>339</v>
      </c>
      <c r="L854" s="272">
        <v>305</v>
      </c>
      <c r="M854" s="129">
        <v>1274</v>
      </c>
      <c r="N854" s="272">
        <v>1377</v>
      </c>
      <c r="O854" s="272">
        <v>336</v>
      </c>
      <c r="P854" s="272">
        <v>353</v>
      </c>
      <c r="Q854" s="272">
        <v>433</v>
      </c>
      <c r="R854" s="129">
        <v>2499</v>
      </c>
      <c r="S854" s="272">
        <v>454</v>
      </c>
      <c r="T854" s="272">
        <v>1826</v>
      </c>
      <c r="U854" s="272">
        <v>429</v>
      </c>
      <c r="V854" s="272">
        <v>450</v>
      </c>
      <c r="W854" s="129">
        <v>3159</v>
      </c>
    </row>
    <row r="855" spans="1:24" s="119" customFormat="1" ht="12.75" x14ac:dyDescent="0.2">
      <c r="A855" s="273"/>
      <c r="B855" s="271" t="s">
        <v>435</v>
      </c>
      <c r="C855" s="272"/>
      <c r="D855" s="272">
        <v>120</v>
      </c>
      <c r="E855" s="272">
        <v>239</v>
      </c>
      <c r="F855" s="272">
        <v>243</v>
      </c>
      <c r="G855" s="272">
        <v>1090</v>
      </c>
      <c r="H855" s="129">
        <v>1692</v>
      </c>
      <c r="I855" s="272">
        <v>318</v>
      </c>
      <c r="J855" s="272">
        <v>334</v>
      </c>
      <c r="K855" s="272">
        <v>351</v>
      </c>
      <c r="L855" s="272">
        <v>318</v>
      </c>
      <c r="M855" s="129">
        <v>1321</v>
      </c>
      <c r="N855" s="272">
        <v>1391</v>
      </c>
      <c r="O855" s="272">
        <v>350</v>
      </c>
      <c r="P855" s="272">
        <v>368</v>
      </c>
      <c r="Q855" s="272">
        <v>448</v>
      </c>
      <c r="R855" s="129">
        <v>2557</v>
      </c>
      <c r="S855" s="272">
        <v>470</v>
      </c>
      <c r="T855" s="272">
        <v>1843</v>
      </c>
      <c r="U855" s="272">
        <v>447</v>
      </c>
      <c r="V855" s="272">
        <v>469</v>
      </c>
      <c r="W855" s="129">
        <v>3229</v>
      </c>
    </row>
    <row r="856" spans="1:24" s="119" customFormat="1" ht="12.75" x14ac:dyDescent="0.2">
      <c r="A856" s="273"/>
      <c r="B856" s="271" t="s">
        <v>1031</v>
      </c>
      <c r="C856" s="272"/>
      <c r="D856" s="272">
        <v>70</v>
      </c>
      <c r="E856" s="272">
        <v>130</v>
      </c>
      <c r="F856" s="272">
        <v>84</v>
      </c>
      <c r="G856" s="272">
        <v>365</v>
      </c>
      <c r="H856" s="129">
        <v>649</v>
      </c>
      <c r="I856" s="272">
        <v>105</v>
      </c>
      <c r="J856" s="272">
        <v>156</v>
      </c>
      <c r="K856" s="272">
        <v>115</v>
      </c>
      <c r="L856" s="272">
        <v>121</v>
      </c>
      <c r="M856" s="129">
        <v>497</v>
      </c>
      <c r="N856" s="272">
        <v>466</v>
      </c>
      <c r="O856" s="272">
        <v>133</v>
      </c>
      <c r="P856" s="272">
        <v>199</v>
      </c>
      <c r="Q856" s="272">
        <v>147</v>
      </c>
      <c r="R856" s="129">
        <v>945</v>
      </c>
      <c r="S856" s="272">
        <v>154</v>
      </c>
      <c r="T856" s="272">
        <v>595</v>
      </c>
      <c r="U856" s="272">
        <v>170</v>
      </c>
      <c r="V856" s="272">
        <v>254</v>
      </c>
      <c r="W856" s="129">
        <v>1173</v>
      </c>
    </row>
    <row r="857" spans="1:24" s="187" customFormat="1" ht="63.75" x14ac:dyDescent="0.2">
      <c r="A857" s="183" t="s">
        <v>1032</v>
      </c>
      <c r="B857" s="184"/>
      <c r="C857" s="185">
        <f>SUM(C858:C892)</f>
        <v>2745</v>
      </c>
      <c r="D857" s="185">
        <f>SUM(D858:D892)</f>
        <v>2945</v>
      </c>
      <c r="E857" s="185">
        <f>SUM(E858:E892)</f>
        <v>3266.0000000000009</v>
      </c>
      <c r="F857" s="185">
        <f>SUM(F858:F892)</f>
        <v>3646.6079999999997</v>
      </c>
      <c r="G857" s="185">
        <f>SUM(G858:G892)</f>
        <v>4817.6787199999999</v>
      </c>
      <c r="H857" s="184">
        <f>SUM(D857:G857)</f>
        <v>14675.28672</v>
      </c>
      <c r="I857" s="185">
        <f>SUM(I858:I892)</f>
        <v>5010.3858687999982</v>
      </c>
      <c r="J857" s="185">
        <f>SUM(J858:J892)</f>
        <v>5210.8013035520016</v>
      </c>
      <c r="K857" s="185">
        <f>SUM(K858:K892)</f>
        <v>5419.2333556940785</v>
      </c>
      <c r="L857" s="185">
        <f>SUM(L858:L892)</f>
        <v>5636.0026899218437</v>
      </c>
      <c r="M857" s="184">
        <f>SUM(I857:L857)</f>
        <v>21276.42321796792</v>
      </c>
      <c r="N857" s="185">
        <f>SUM(N858:N892)</f>
        <v>5861.4427975187173</v>
      </c>
      <c r="O857" s="185">
        <f>SUM(O858:O892)</f>
        <v>6095.9005094194636</v>
      </c>
      <c r="P857" s="185">
        <f>SUM(P858:P892)</f>
        <v>6339.7365297962442</v>
      </c>
      <c r="Q857" s="185">
        <f>SUM(Q858:Q892)</f>
        <v>6593.3259909880926</v>
      </c>
      <c r="R857" s="184">
        <f>SUM(N857:Q857)</f>
        <v>24890.405827722519</v>
      </c>
      <c r="S857" s="185">
        <f>SUM(S858:S892)</f>
        <v>25886.022060831412</v>
      </c>
      <c r="T857" s="185">
        <f>SUM(T858:T892)</f>
        <v>26921.462943264676</v>
      </c>
      <c r="U857" s="185">
        <f>SUM(U858:U892)</f>
        <v>27998.32146099527</v>
      </c>
      <c r="V857" s="185">
        <f>SUM(V858:V892)</f>
        <v>29118.25431943508</v>
      </c>
      <c r="W857" s="184">
        <f>SUM(S857:V857)</f>
        <v>109924.06078452643</v>
      </c>
      <c r="X857" s="186">
        <v>42976</v>
      </c>
    </row>
    <row r="858" spans="1:24" s="119" customFormat="1" ht="12.75" x14ac:dyDescent="0.2">
      <c r="A858" s="211"/>
      <c r="B858" s="274" t="s">
        <v>450</v>
      </c>
      <c r="C858" s="275">
        <v>60</v>
      </c>
      <c r="D858" s="275">
        <v>70</v>
      </c>
      <c r="E858" s="275">
        <v>73</v>
      </c>
      <c r="F858" s="275">
        <v>77</v>
      </c>
      <c r="G858" s="275">
        <v>103</v>
      </c>
      <c r="H858" s="129">
        <f t="shared" ref="H858:H892" si="36">SUM(D858:G858)</f>
        <v>323</v>
      </c>
      <c r="I858" s="275">
        <f>(G858*4%+G858)</f>
        <v>107.12</v>
      </c>
      <c r="J858" s="275">
        <f>(I858*4%+I858)</f>
        <v>111.40480000000001</v>
      </c>
      <c r="K858" s="275">
        <f>(J858*4%+J858)</f>
        <v>115.86099200000001</v>
      </c>
      <c r="L858" s="275">
        <f>(K858*4%+K858)</f>
        <v>120.49543168000001</v>
      </c>
      <c r="M858" s="129">
        <f>SUM(I858:L858)</f>
        <v>454.88122368000006</v>
      </c>
      <c r="N858" s="275">
        <f>(L858*4%+L858)</f>
        <v>125.3152489472</v>
      </c>
      <c r="O858" s="275">
        <f>(N858*4%+N858)</f>
        <v>130.32785890508799</v>
      </c>
      <c r="P858" s="275">
        <f>(O858*4%+O858)</f>
        <v>135.54097326129153</v>
      </c>
      <c r="Q858" s="275">
        <f>(P858*4%+P858)</f>
        <v>140.96261219174318</v>
      </c>
      <c r="R858" s="129">
        <f>SUM(N858:Q858)</f>
        <v>532.14669330532274</v>
      </c>
      <c r="S858" s="275">
        <f>(R858*4%+R858)</f>
        <v>553.43256103753561</v>
      </c>
      <c r="T858" s="275">
        <f>(S858*4%+S858)</f>
        <v>575.56986347903705</v>
      </c>
      <c r="U858" s="275">
        <f>(T858*4%+T858)</f>
        <v>598.59265801819856</v>
      </c>
      <c r="V858" s="275">
        <f>(U858*4%+U858)</f>
        <v>622.53636433892655</v>
      </c>
      <c r="W858" s="129">
        <f>SUM(S858:V858)</f>
        <v>2350.1314468736978</v>
      </c>
    </row>
    <row r="859" spans="1:24" s="119" customFormat="1" ht="60" customHeight="1" x14ac:dyDescent="0.2">
      <c r="A859" s="215"/>
      <c r="B859" s="274" t="s">
        <v>443</v>
      </c>
      <c r="C859" s="275">
        <v>100</v>
      </c>
      <c r="D859" s="275">
        <v>115</v>
      </c>
      <c r="E859" s="275">
        <f t="shared" ref="E859:F862" si="37">(D859*4%+D859)</f>
        <v>119.6</v>
      </c>
      <c r="F859" s="275">
        <f t="shared" si="37"/>
        <v>124.384</v>
      </c>
      <c r="G859" s="275">
        <v>165</v>
      </c>
      <c r="H859" s="129">
        <f t="shared" si="36"/>
        <v>523.98399999999992</v>
      </c>
      <c r="I859" s="275">
        <f t="shared" ref="I859:I892" si="38">(G859*4%+G859)</f>
        <v>171.6</v>
      </c>
      <c r="J859" s="275">
        <f t="shared" ref="J859:L892" si="39">(I859*4%+I859)</f>
        <v>178.464</v>
      </c>
      <c r="K859" s="275">
        <f t="shared" si="39"/>
        <v>185.60256000000001</v>
      </c>
      <c r="L859" s="275">
        <f t="shared" si="39"/>
        <v>193.02666240000002</v>
      </c>
      <c r="M859" s="129">
        <f t="shared" ref="M859:M892" si="40">SUM(I859:L859)</f>
        <v>728.69322239999997</v>
      </c>
      <c r="N859" s="275">
        <f t="shared" ref="N859:N892" si="41">(L859*4%+L859)</f>
        <v>200.74772889600001</v>
      </c>
      <c r="O859" s="275">
        <f t="shared" ref="O859:Q892" si="42">(N859*4%+N859)</f>
        <v>208.77763805184</v>
      </c>
      <c r="P859" s="275">
        <f t="shared" si="42"/>
        <v>217.1287435739136</v>
      </c>
      <c r="Q859" s="275">
        <f t="shared" si="42"/>
        <v>225.81389331687015</v>
      </c>
      <c r="R859" s="129">
        <f t="shared" ref="R859:R892" si="43">SUM(N859:Q859)</f>
        <v>852.46800383862376</v>
      </c>
      <c r="S859" s="275">
        <f t="shared" ref="S859:V892" si="44">(R859*4%+R859)</f>
        <v>886.5667239921687</v>
      </c>
      <c r="T859" s="275">
        <f t="shared" si="44"/>
        <v>922.02939295185547</v>
      </c>
      <c r="U859" s="275">
        <f t="shared" si="44"/>
        <v>958.91056866992972</v>
      </c>
      <c r="V859" s="275">
        <f t="shared" si="44"/>
        <v>997.26699141672691</v>
      </c>
      <c r="W859" s="129">
        <f t="shared" ref="W859:W892" si="45">SUM(S859:V859)</f>
        <v>3764.7736770306806</v>
      </c>
    </row>
    <row r="860" spans="1:24" s="119" customFormat="1" ht="12.75" x14ac:dyDescent="0.2">
      <c r="A860" s="215"/>
      <c r="B860" s="274" t="s">
        <v>451</v>
      </c>
      <c r="C860" s="275">
        <v>100</v>
      </c>
      <c r="D860" s="275">
        <v>115</v>
      </c>
      <c r="E860" s="275">
        <f t="shared" si="37"/>
        <v>119.6</v>
      </c>
      <c r="F860" s="275">
        <f t="shared" si="37"/>
        <v>124.384</v>
      </c>
      <c r="G860" s="275">
        <f>(F860*4%+F860)</f>
        <v>129.35936000000001</v>
      </c>
      <c r="H860" s="129">
        <f t="shared" si="36"/>
        <v>488.34335999999996</v>
      </c>
      <c r="I860" s="275">
        <f t="shared" si="38"/>
        <v>134.53373440000001</v>
      </c>
      <c r="J860" s="275">
        <f t="shared" si="39"/>
        <v>139.91508377600002</v>
      </c>
      <c r="K860" s="275">
        <f t="shared" si="39"/>
        <v>145.51168712704001</v>
      </c>
      <c r="L860" s="275">
        <f t="shared" si="39"/>
        <v>151.3321546121216</v>
      </c>
      <c r="M860" s="129">
        <f t="shared" si="40"/>
        <v>571.29265991516161</v>
      </c>
      <c r="N860" s="275">
        <f t="shared" si="41"/>
        <v>157.38544079660647</v>
      </c>
      <c r="O860" s="275">
        <f t="shared" si="42"/>
        <v>163.68085842847074</v>
      </c>
      <c r="P860" s="275">
        <f t="shared" si="42"/>
        <v>170.22809276560957</v>
      </c>
      <c r="Q860" s="275">
        <f t="shared" si="42"/>
        <v>177.03721647623397</v>
      </c>
      <c r="R860" s="129">
        <f t="shared" si="43"/>
        <v>668.33160846692078</v>
      </c>
      <c r="S860" s="275">
        <f t="shared" si="44"/>
        <v>695.06487280559759</v>
      </c>
      <c r="T860" s="275">
        <f t="shared" si="44"/>
        <v>722.86746771782146</v>
      </c>
      <c r="U860" s="275">
        <f t="shared" si="44"/>
        <v>751.78216642653433</v>
      </c>
      <c r="V860" s="275">
        <f t="shared" si="44"/>
        <v>781.8534530835957</v>
      </c>
      <c r="W860" s="129">
        <f t="shared" si="45"/>
        <v>2951.5679600335488</v>
      </c>
    </row>
    <row r="861" spans="1:24" s="119" customFormat="1" ht="12.75" x14ac:dyDescent="0.2">
      <c r="A861" s="215"/>
      <c r="B861" s="274" t="s">
        <v>452</v>
      </c>
      <c r="C861" s="275">
        <v>155</v>
      </c>
      <c r="D861" s="275"/>
      <c r="E861" s="275">
        <f t="shared" si="37"/>
        <v>0</v>
      </c>
      <c r="F861" s="275">
        <f t="shared" si="37"/>
        <v>0</v>
      </c>
      <c r="G861" s="275">
        <f>(F861*4%+F861)</f>
        <v>0</v>
      </c>
      <c r="H861" s="129">
        <f t="shared" si="36"/>
        <v>0</v>
      </c>
      <c r="I861" s="275">
        <f t="shared" si="38"/>
        <v>0</v>
      </c>
      <c r="J861" s="275">
        <f t="shared" si="39"/>
        <v>0</v>
      </c>
      <c r="K861" s="275">
        <f t="shared" si="39"/>
        <v>0</v>
      </c>
      <c r="L861" s="275">
        <f t="shared" si="39"/>
        <v>0</v>
      </c>
      <c r="M861" s="129">
        <f t="shared" si="40"/>
        <v>0</v>
      </c>
      <c r="N861" s="275">
        <f t="shared" si="41"/>
        <v>0</v>
      </c>
      <c r="O861" s="275">
        <f t="shared" si="42"/>
        <v>0</v>
      </c>
      <c r="P861" s="275">
        <f t="shared" si="42"/>
        <v>0</v>
      </c>
      <c r="Q861" s="275">
        <f t="shared" si="42"/>
        <v>0</v>
      </c>
      <c r="R861" s="129">
        <f t="shared" si="43"/>
        <v>0</v>
      </c>
      <c r="S861" s="275">
        <f t="shared" si="44"/>
        <v>0</v>
      </c>
      <c r="T861" s="275">
        <f t="shared" si="44"/>
        <v>0</v>
      </c>
      <c r="U861" s="275">
        <f t="shared" si="44"/>
        <v>0</v>
      </c>
      <c r="V861" s="275">
        <f t="shared" si="44"/>
        <v>0</v>
      </c>
      <c r="W861" s="129">
        <f t="shared" si="45"/>
        <v>0</v>
      </c>
    </row>
    <row r="862" spans="1:24" s="119" customFormat="1" ht="12.75" x14ac:dyDescent="0.2">
      <c r="A862" s="215"/>
      <c r="B862" s="274" t="s">
        <v>444</v>
      </c>
      <c r="C862" s="275">
        <v>100</v>
      </c>
      <c r="D862" s="275">
        <v>120</v>
      </c>
      <c r="E862" s="275">
        <f t="shared" si="37"/>
        <v>124.8</v>
      </c>
      <c r="F862" s="275">
        <f t="shared" si="37"/>
        <v>129.792</v>
      </c>
      <c r="G862" s="275">
        <v>165</v>
      </c>
      <c r="H862" s="129">
        <f t="shared" si="36"/>
        <v>539.59199999999998</v>
      </c>
      <c r="I862" s="275">
        <f t="shared" si="38"/>
        <v>171.6</v>
      </c>
      <c r="J862" s="275">
        <f t="shared" si="39"/>
        <v>178.464</v>
      </c>
      <c r="K862" s="275">
        <f t="shared" si="39"/>
        <v>185.60256000000001</v>
      </c>
      <c r="L862" s="275">
        <f t="shared" si="39"/>
        <v>193.02666240000002</v>
      </c>
      <c r="M862" s="129">
        <f t="shared" si="40"/>
        <v>728.69322239999997</v>
      </c>
      <c r="N862" s="275">
        <f t="shared" si="41"/>
        <v>200.74772889600001</v>
      </c>
      <c r="O862" s="275">
        <f t="shared" si="42"/>
        <v>208.77763805184</v>
      </c>
      <c r="P862" s="275">
        <f t="shared" si="42"/>
        <v>217.1287435739136</v>
      </c>
      <c r="Q862" s="275">
        <f t="shared" si="42"/>
        <v>225.81389331687015</v>
      </c>
      <c r="R862" s="129">
        <f t="shared" si="43"/>
        <v>852.46800383862376</v>
      </c>
      <c r="S862" s="275">
        <f t="shared" si="44"/>
        <v>886.5667239921687</v>
      </c>
      <c r="T862" s="275">
        <f t="shared" si="44"/>
        <v>922.02939295185547</v>
      </c>
      <c r="U862" s="275">
        <f t="shared" si="44"/>
        <v>958.91056866992972</v>
      </c>
      <c r="V862" s="275">
        <f t="shared" si="44"/>
        <v>997.26699141672691</v>
      </c>
      <c r="W862" s="129">
        <f t="shared" si="45"/>
        <v>3764.7736770306806</v>
      </c>
    </row>
    <row r="863" spans="1:24" s="119" customFormat="1" ht="12.75" x14ac:dyDescent="0.2">
      <c r="A863" s="215"/>
      <c r="B863" s="274" t="s">
        <v>454</v>
      </c>
      <c r="C863" s="275">
        <v>55</v>
      </c>
      <c r="D863" s="275">
        <v>70</v>
      </c>
      <c r="E863" s="275">
        <v>70</v>
      </c>
      <c r="F863" s="275">
        <f>(E863*4%+E863)</f>
        <v>72.8</v>
      </c>
      <c r="G863" s="275">
        <v>125</v>
      </c>
      <c r="H863" s="129">
        <f t="shared" si="36"/>
        <v>337.8</v>
      </c>
      <c r="I863" s="275">
        <f t="shared" si="38"/>
        <v>130</v>
      </c>
      <c r="J863" s="275">
        <f t="shared" si="39"/>
        <v>135.19999999999999</v>
      </c>
      <c r="K863" s="275">
        <f t="shared" si="39"/>
        <v>140.60799999999998</v>
      </c>
      <c r="L863" s="275">
        <f t="shared" si="39"/>
        <v>146.23231999999999</v>
      </c>
      <c r="M863" s="129">
        <f t="shared" si="40"/>
        <v>552.04031999999995</v>
      </c>
      <c r="N863" s="275">
        <f t="shared" si="41"/>
        <v>152.08161279999999</v>
      </c>
      <c r="O863" s="275">
        <f t="shared" si="42"/>
        <v>158.16487731199999</v>
      </c>
      <c r="P863" s="275">
        <f t="shared" si="42"/>
        <v>164.49147240447999</v>
      </c>
      <c r="Q863" s="275">
        <f t="shared" si="42"/>
        <v>171.0711313006592</v>
      </c>
      <c r="R863" s="129">
        <f t="shared" si="43"/>
        <v>645.80909381713911</v>
      </c>
      <c r="S863" s="275">
        <f t="shared" si="44"/>
        <v>671.64145756982464</v>
      </c>
      <c r="T863" s="275">
        <f t="shared" si="44"/>
        <v>698.50711587261765</v>
      </c>
      <c r="U863" s="275">
        <f t="shared" si="44"/>
        <v>726.44740050752239</v>
      </c>
      <c r="V863" s="275">
        <f t="shared" si="44"/>
        <v>755.50529652782325</v>
      </c>
      <c r="W863" s="129">
        <f t="shared" si="45"/>
        <v>2852.1012704777881</v>
      </c>
    </row>
    <row r="864" spans="1:24" s="119" customFormat="1" ht="12.75" x14ac:dyDescent="0.2">
      <c r="A864" s="215"/>
      <c r="B864" s="274" t="s">
        <v>692</v>
      </c>
      <c r="C864" s="275">
        <v>165</v>
      </c>
      <c r="D864" s="275">
        <v>150</v>
      </c>
      <c r="E864" s="275">
        <v>180</v>
      </c>
      <c r="F864" s="275">
        <f>(E864*4%+E864)</f>
        <v>187.2</v>
      </c>
      <c r="G864" s="275">
        <v>305</v>
      </c>
      <c r="H864" s="129">
        <f t="shared" si="36"/>
        <v>822.2</v>
      </c>
      <c r="I864" s="275">
        <f t="shared" si="38"/>
        <v>317.2</v>
      </c>
      <c r="J864" s="275">
        <f t="shared" si="39"/>
        <v>329.88799999999998</v>
      </c>
      <c r="K864" s="275">
        <f t="shared" si="39"/>
        <v>343.08351999999996</v>
      </c>
      <c r="L864" s="275">
        <f t="shared" si="39"/>
        <v>356.80686079999998</v>
      </c>
      <c r="M864" s="129">
        <f t="shared" si="40"/>
        <v>1346.9783807999997</v>
      </c>
      <c r="N864" s="275">
        <f t="shared" si="41"/>
        <v>371.079135232</v>
      </c>
      <c r="O864" s="275">
        <f t="shared" si="42"/>
        <v>385.92230064128</v>
      </c>
      <c r="P864" s="275">
        <f t="shared" si="42"/>
        <v>401.35919266693122</v>
      </c>
      <c r="Q864" s="275">
        <f t="shared" si="42"/>
        <v>417.41356037360845</v>
      </c>
      <c r="R864" s="129">
        <f t="shared" si="43"/>
        <v>1575.7741889138197</v>
      </c>
      <c r="S864" s="275">
        <f t="shared" si="44"/>
        <v>1638.8051564703724</v>
      </c>
      <c r="T864" s="275">
        <f t="shared" si="44"/>
        <v>1704.3573627291873</v>
      </c>
      <c r="U864" s="275">
        <f t="shared" si="44"/>
        <v>1772.5316572383549</v>
      </c>
      <c r="V864" s="275">
        <f t="shared" si="44"/>
        <v>1843.4329235278892</v>
      </c>
      <c r="W864" s="129">
        <f t="shared" si="45"/>
        <v>6959.1270999658045</v>
      </c>
    </row>
    <row r="865" spans="1:23" s="119" customFormat="1" ht="12.75" x14ac:dyDescent="0.2">
      <c r="A865" s="215"/>
      <c r="B865" s="274" t="s">
        <v>440</v>
      </c>
      <c r="C865" s="275">
        <v>100</v>
      </c>
      <c r="D865" s="275">
        <v>120</v>
      </c>
      <c r="E865" s="275">
        <f>(D865*4%+D865)</f>
        <v>124.8</v>
      </c>
      <c r="F865" s="275">
        <f>(E865*4%+E865)</f>
        <v>129.792</v>
      </c>
      <c r="G865" s="275">
        <v>165</v>
      </c>
      <c r="H865" s="129">
        <f t="shared" si="36"/>
        <v>539.59199999999998</v>
      </c>
      <c r="I865" s="275">
        <f t="shared" si="38"/>
        <v>171.6</v>
      </c>
      <c r="J865" s="275">
        <f t="shared" si="39"/>
        <v>178.464</v>
      </c>
      <c r="K865" s="275">
        <f t="shared" si="39"/>
        <v>185.60256000000001</v>
      </c>
      <c r="L865" s="275">
        <f t="shared" si="39"/>
        <v>193.02666240000002</v>
      </c>
      <c r="M865" s="129">
        <f t="shared" si="40"/>
        <v>728.69322239999997</v>
      </c>
      <c r="N865" s="275">
        <f t="shared" si="41"/>
        <v>200.74772889600001</v>
      </c>
      <c r="O865" s="275">
        <f t="shared" si="42"/>
        <v>208.77763805184</v>
      </c>
      <c r="P865" s="275">
        <f t="shared" si="42"/>
        <v>217.1287435739136</v>
      </c>
      <c r="Q865" s="275">
        <f t="shared" si="42"/>
        <v>225.81389331687015</v>
      </c>
      <c r="R865" s="129">
        <f t="shared" si="43"/>
        <v>852.46800383862376</v>
      </c>
      <c r="S865" s="275">
        <f t="shared" si="44"/>
        <v>886.5667239921687</v>
      </c>
      <c r="T865" s="275">
        <f t="shared" si="44"/>
        <v>922.02939295185547</v>
      </c>
      <c r="U865" s="275">
        <f t="shared" si="44"/>
        <v>958.91056866992972</v>
      </c>
      <c r="V865" s="275">
        <f t="shared" si="44"/>
        <v>997.26699141672691</v>
      </c>
      <c r="W865" s="129">
        <f t="shared" si="45"/>
        <v>3764.7736770306806</v>
      </c>
    </row>
    <row r="866" spans="1:23" s="119" customFormat="1" ht="12.75" x14ac:dyDescent="0.2">
      <c r="A866" s="215"/>
      <c r="B866" s="274" t="s">
        <v>460</v>
      </c>
      <c r="C866" s="275">
        <v>72</v>
      </c>
      <c r="D866" s="275">
        <v>70</v>
      </c>
      <c r="E866" s="275">
        <v>70</v>
      </c>
      <c r="F866" s="275">
        <v>79</v>
      </c>
      <c r="G866" s="275">
        <v>102</v>
      </c>
      <c r="H866" s="129">
        <f t="shared" si="36"/>
        <v>321</v>
      </c>
      <c r="I866" s="275">
        <f t="shared" si="38"/>
        <v>106.08</v>
      </c>
      <c r="J866" s="275">
        <f t="shared" si="39"/>
        <v>110.3232</v>
      </c>
      <c r="K866" s="275">
        <f t="shared" si="39"/>
        <v>114.73612799999999</v>
      </c>
      <c r="L866" s="275">
        <f t="shared" si="39"/>
        <v>119.32557311999999</v>
      </c>
      <c r="M866" s="129">
        <f t="shared" si="40"/>
        <v>450.46490111999998</v>
      </c>
      <c r="N866" s="275">
        <f t="shared" si="41"/>
        <v>124.09859604479999</v>
      </c>
      <c r="O866" s="275">
        <f t="shared" si="42"/>
        <v>129.06253988659199</v>
      </c>
      <c r="P866" s="275">
        <f t="shared" si="42"/>
        <v>134.22504148205567</v>
      </c>
      <c r="Q866" s="275">
        <f t="shared" si="42"/>
        <v>139.59404314133789</v>
      </c>
      <c r="R866" s="129">
        <f t="shared" si="43"/>
        <v>526.98022055478555</v>
      </c>
      <c r="S866" s="275">
        <f t="shared" si="44"/>
        <v>548.05942937697694</v>
      </c>
      <c r="T866" s="275">
        <f t="shared" si="44"/>
        <v>569.98180655205601</v>
      </c>
      <c r="U866" s="275">
        <f t="shared" si="44"/>
        <v>592.78107881413825</v>
      </c>
      <c r="V866" s="275">
        <f t="shared" si="44"/>
        <v>616.4923219667038</v>
      </c>
      <c r="W866" s="129">
        <f t="shared" si="45"/>
        <v>2327.3146367098752</v>
      </c>
    </row>
    <row r="867" spans="1:23" s="119" customFormat="1" ht="12.75" x14ac:dyDescent="0.2">
      <c r="A867" s="215"/>
      <c r="B867" s="274" t="s">
        <v>459</v>
      </c>
      <c r="C867" s="275">
        <v>90</v>
      </c>
      <c r="D867" s="275">
        <v>70</v>
      </c>
      <c r="E867" s="275">
        <v>70</v>
      </c>
      <c r="F867" s="275">
        <v>79</v>
      </c>
      <c r="G867" s="275">
        <v>125</v>
      </c>
      <c r="H867" s="129">
        <f t="shared" si="36"/>
        <v>344</v>
      </c>
      <c r="I867" s="275">
        <f t="shared" si="38"/>
        <v>130</v>
      </c>
      <c r="J867" s="275">
        <f t="shared" si="39"/>
        <v>135.19999999999999</v>
      </c>
      <c r="K867" s="275">
        <f t="shared" si="39"/>
        <v>140.60799999999998</v>
      </c>
      <c r="L867" s="275">
        <f t="shared" si="39"/>
        <v>146.23231999999999</v>
      </c>
      <c r="M867" s="129">
        <f t="shared" si="40"/>
        <v>552.04031999999995</v>
      </c>
      <c r="N867" s="275">
        <f t="shared" si="41"/>
        <v>152.08161279999999</v>
      </c>
      <c r="O867" s="275">
        <f t="shared" si="42"/>
        <v>158.16487731199999</v>
      </c>
      <c r="P867" s="275">
        <f t="shared" si="42"/>
        <v>164.49147240447999</v>
      </c>
      <c r="Q867" s="275">
        <f t="shared" si="42"/>
        <v>171.0711313006592</v>
      </c>
      <c r="R867" s="129">
        <f t="shared" si="43"/>
        <v>645.80909381713911</v>
      </c>
      <c r="S867" s="275">
        <f t="shared" si="44"/>
        <v>671.64145756982464</v>
      </c>
      <c r="T867" s="275">
        <f t="shared" si="44"/>
        <v>698.50711587261765</v>
      </c>
      <c r="U867" s="275">
        <f t="shared" si="44"/>
        <v>726.44740050752239</v>
      </c>
      <c r="V867" s="275">
        <f t="shared" si="44"/>
        <v>755.50529652782325</v>
      </c>
      <c r="W867" s="129">
        <f t="shared" si="45"/>
        <v>2852.1012704777881</v>
      </c>
    </row>
    <row r="868" spans="1:23" s="119" customFormat="1" ht="12.75" x14ac:dyDescent="0.2">
      <c r="A868" s="215"/>
      <c r="B868" s="274" t="s">
        <v>461</v>
      </c>
      <c r="C868" s="275">
        <v>98</v>
      </c>
      <c r="D868" s="275">
        <v>70</v>
      </c>
      <c r="E868" s="275">
        <v>10</v>
      </c>
      <c r="F868" s="275">
        <v>89</v>
      </c>
      <c r="G868" s="275">
        <v>100</v>
      </c>
      <c r="H868" s="129">
        <f t="shared" si="36"/>
        <v>269</v>
      </c>
      <c r="I868" s="275">
        <f t="shared" si="38"/>
        <v>104</v>
      </c>
      <c r="J868" s="275">
        <f t="shared" si="39"/>
        <v>108.16</v>
      </c>
      <c r="K868" s="275">
        <f t="shared" si="39"/>
        <v>112.4864</v>
      </c>
      <c r="L868" s="275">
        <f t="shared" si="39"/>
        <v>116.985856</v>
      </c>
      <c r="M868" s="129">
        <f t="shared" si="40"/>
        <v>441.63225599999998</v>
      </c>
      <c r="N868" s="275">
        <f t="shared" si="41"/>
        <v>121.66529024</v>
      </c>
      <c r="O868" s="275">
        <f t="shared" si="42"/>
        <v>126.5319018496</v>
      </c>
      <c r="P868" s="275">
        <f t="shared" si="42"/>
        <v>131.59317792358399</v>
      </c>
      <c r="Q868" s="275">
        <f t="shared" si="42"/>
        <v>136.85690504052735</v>
      </c>
      <c r="R868" s="129">
        <f t="shared" si="43"/>
        <v>516.64727505371138</v>
      </c>
      <c r="S868" s="275">
        <f t="shared" si="44"/>
        <v>537.31316605585982</v>
      </c>
      <c r="T868" s="275">
        <f t="shared" si="44"/>
        <v>558.80569269809416</v>
      </c>
      <c r="U868" s="275">
        <f t="shared" si="44"/>
        <v>581.15792040601798</v>
      </c>
      <c r="V868" s="275">
        <f t="shared" si="44"/>
        <v>604.40423722225864</v>
      </c>
      <c r="W868" s="129">
        <f t="shared" si="45"/>
        <v>2281.6810163822311</v>
      </c>
    </row>
    <row r="869" spans="1:23" s="119" customFormat="1" ht="12.75" x14ac:dyDescent="0.2">
      <c r="A869" s="215"/>
      <c r="B869" s="274" t="s">
        <v>462</v>
      </c>
      <c r="C869" s="275">
        <v>75</v>
      </c>
      <c r="D869" s="275">
        <v>70</v>
      </c>
      <c r="E869" s="275">
        <f>(D869*4%+D869)</f>
        <v>72.8</v>
      </c>
      <c r="F869" s="275">
        <v>105</v>
      </c>
      <c r="G869" s="275">
        <v>125</v>
      </c>
      <c r="H869" s="129">
        <f t="shared" si="36"/>
        <v>372.8</v>
      </c>
      <c r="I869" s="275">
        <f t="shared" si="38"/>
        <v>130</v>
      </c>
      <c r="J869" s="275">
        <f t="shared" si="39"/>
        <v>135.19999999999999</v>
      </c>
      <c r="K869" s="275">
        <f t="shared" si="39"/>
        <v>140.60799999999998</v>
      </c>
      <c r="L869" s="275">
        <f t="shared" si="39"/>
        <v>146.23231999999999</v>
      </c>
      <c r="M869" s="129">
        <f t="shared" si="40"/>
        <v>552.04031999999995</v>
      </c>
      <c r="N869" s="275">
        <f t="shared" si="41"/>
        <v>152.08161279999999</v>
      </c>
      <c r="O869" s="275">
        <f t="shared" si="42"/>
        <v>158.16487731199999</v>
      </c>
      <c r="P869" s="275">
        <f t="shared" si="42"/>
        <v>164.49147240447999</v>
      </c>
      <c r="Q869" s="275">
        <f t="shared" si="42"/>
        <v>171.0711313006592</v>
      </c>
      <c r="R869" s="129">
        <f t="shared" si="43"/>
        <v>645.80909381713911</v>
      </c>
      <c r="S869" s="275">
        <f t="shared" si="44"/>
        <v>671.64145756982464</v>
      </c>
      <c r="T869" s="275">
        <f t="shared" si="44"/>
        <v>698.50711587261765</v>
      </c>
      <c r="U869" s="275">
        <f t="shared" si="44"/>
        <v>726.44740050752239</v>
      </c>
      <c r="V869" s="275">
        <f t="shared" si="44"/>
        <v>755.50529652782325</v>
      </c>
      <c r="W869" s="129">
        <f t="shared" si="45"/>
        <v>2852.1012704777881</v>
      </c>
    </row>
    <row r="870" spans="1:23" s="119" customFormat="1" ht="12.75" x14ac:dyDescent="0.2">
      <c r="A870" s="215"/>
      <c r="B870" s="274" t="s">
        <v>436</v>
      </c>
      <c r="C870" s="275">
        <v>65</v>
      </c>
      <c r="D870" s="275">
        <v>70</v>
      </c>
      <c r="E870" s="275">
        <v>110</v>
      </c>
      <c r="F870" s="275">
        <f>(E870*4%+E870)</f>
        <v>114.4</v>
      </c>
      <c r="G870" s="275">
        <v>205</v>
      </c>
      <c r="H870" s="129">
        <f t="shared" si="36"/>
        <v>499.4</v>
      </c>
      <c r="I870" s="275">
        <f t="shared" si="38"/>
        <v>213.2</v>
      </c>
      <c r="J870" s="275">
        <f t="shared" si="39"/>
        <v>221.72799999999998</v>
      </c>
      <c r="K870" s="275">
        <f t="shared" si="39"/>
        <v>230.59711999999999</v>
      </c>
      <c r="L870" s="275">
        <f t="shared" si="39"/>
        <v>239.8210048</v>
      </c>
      <c r="M870" s="129">
        <f t="shared" si="40"/>
        <v>905.34612479999998</v>
      </c>
      <c r="N870" s="275">
        <f t="shared" si="41"/>
        <v>249.41384499200001</v>
      </c>
      <c r="O870" s="275">
        <f t="shared" si="42"/>
        <v>259.39039879168001</v>
      </c>
      <c r="P870" s="275">
        <f t="shared" si="42"/>
        <v>269.76601474334723</v>
      </c>
      <c r="Q870" s="275">
        <f t="shared" si="42"/>
        <v>280.5566553330811</v>
      </c>
      <c r="R870" s="129">
        <f t="shared" si="43"/>
        <v>1059.1269138601083</v>
      </c>
      <c r="S870" s="275">
        <f t="shared" si="44"/>
        <v>1101.4919904145127</v>
      </c>
      <c r="T870" s="275">
        <f t="shared" si="44"/>
        <v>1145.5516700310932</v>
      </c>
      <c r="U870" s="275">
        <f t="shared" si="44"/>
        <v>1191.3737368323368</v>
      </c>
      <c r="V870" s="275">
        <f t="shared" si="44"/>
        <v>1239.0286863056303</v>
      </c>
      <c r="W870" s="129">
        <f t="shared" si="45"/>
        <v>4677.4460835835725</v>
      </c>
    </row>
    <row r="871" spans="1:23" s="119" customFormat="1" ht="12.75" x14ac:dyDescent="0.2">
      <c r="A871" s="215"/>
      <c r="B871" s="274" t="s">
        <v>463</v>
      </c>
      <c r="C871" s="275">
        <v>59</v>
      </c>
      <c r="D871" s="275">
        <v>70</v>
      </c>
      <c r="E871" s="275">
        <v>70</v>
      </c>
      <c r="F871" s="275">
        <v>102</v>
      </c>
      <c r="G871" s="275">
        <v>111</v>
      </c>
      <c r="H871" s="129">
        <f t="shared" si="36"/>
        <v>353</v>
      </c>
      <c r="I871" s="275">
        <f t="shared" si="38"/>
        <v>115.44</v>
      </c>
      <c r="J871" s="275">
        <f t="shared" si="39"/>
        <v>120.05759999999999</v>
      </c>
      <c r="K871" s="275">
        <f t="shared" si="39"/>
        <v>124.859904</v>
      </c>
      <c r="L871" s="275">
        <f t="shared" si="39"/>
        <v>129.85430016000001</v>
      </c>
      <c r="M871" s="129">
        <f t="shared" si="40"/>
        <v>490.21180415999993</v>
      </c>
      <c r="N871" s="275">
        <f t="shared" si="41"/>
        <v>135.04847216640002</v>
      </c>
      <c r="O871" s="275">
        <f t="shared" si="42"/>
        <v>140.45041105305603</v>
      </c>
      <c r="P871" s="275">
        <f t="shared" si="42"/>
        <v>146.06842749517827</v>
      </c>
      <c r="Q871" s="275">
        <f t="shared" si="42"/>
        <v>151.91116459498539</v>
      </c>
      <c r="R871" s="129">
        <f t="shared" si="43"/>
        <v>573.47847530961974</v>
      </c>
      <c r="S871" s="275">
        <f t="shared" si="44"/>
        <v>596.41761432200451</v>
      </c>
      <c r="T871" s="275">
        <f t="shared" si="44"/>
        <v>620.27431889488469</v>
      </c>
      <c r="U871" s="275">
        <f t="shared" si="44"/>
        <v>645.08529165068012</v>
      </c>
      <c r="V871" s="275">
        <f t="shared" si="44"/>
        <v>670.88870331670728</v>
      </c>
      <c r="W871" s="129">
        <f t="shared" si="45"/>
        <v>2532.6659281842767</v>
      </c>
    </row>
    <row r="872" spans="1:23" s="119" customFormat="1" ht="12.75" x14ac:dyDescent="0.2">
      <c r="A872" s="215"/>
      <c r="B872" s="274" t="s">
        <v>438</v>
      </c>
      <c r="C872" s="275">
        <v>98</v>
      </c>
      <c r="D872" s="275">
        <v>120</v>
      </c>
      <c r="E872" s="275">
        <v>120</v>
      </c>
      <c r="F872" s="275">
        <f>(E872*4%+E872)</f>
        <v>124.8</v>
      </c>
      <c r="G872" s="275">
        <f>(F872*4%+F872)</f>
        <v>129.792</v>
      </c>
      <c r="H872" s="129">
        <f t="shared" si="36"/>
        <v>494.59199999999998</v>
      </c>
      <c r="I872" s="275">
        <f t="shared" si="38"/>
        <v>134.98367999999999</v>
      </c>
      <c r="J872" s="275">
        <f t="shared" si="39"/>
        <v>140.38302719999999</v>
      </c>
      <c r="K872" s="275">
        <f t="shared" si="39"/>
        <v>145.99834828799999</v>
      </c>
      <c r="L872" s="275">
        <f t="shared" si="39"/>
        <v>151.83828221951998</v>
      </c>
      <c r="M872" s="129">
        <f t="shared" si="40"/>
        <v>573.20333770751995</v>
      </c>
      <c r="N872" s="275">
        <f t="shared" si="41"/>
        <v>157.91181350830078</v>
      </c>
      <c r="O872" s="275">
        <f t="shared" si="42"/>
        <v>164.22828604863281</v>
      </c>
      <c r="P872" s="275">
        <f t="shared" si="42"/>
        <v>170.79741749057811</v>
      </c>
      <c r="Q872" s="275">
        <f t="shared" si="42"/>
        <v>177.62931419020123</v>
      </c>
      <c r="R872" s="129">
        <f t="shared" si="43"/>
        <v>670.5668312377129</v>
      </c>
      <c r="S872" s="275">
        <f t="shared" si="44"/>
        <v>697.38950448722142</v>
      </c>
      <c r="T872" s="275">
        <f t="shared" si="44"/>
        <v>725.2850846667103</v>
      </c>
      <c r="U872" s="275">
        <f t="shared" si="44"/>
        <v>754.29648805337877</v>
      </c>
      <c r="V872" s="275">
        <f t="shared" si="44"/>
        <v>784.46834757551392</v>
      </c>
      <c r="W872" s="129">
        <f t="shared" si="45"/>
        <v>2961.4394247828241</v>
      </c>
    </row>
    <row r="873" spans="1:23" s="119" customFormat="1" ht="12.75" x14ac:dyDescent="0.2">
      <c r="A873" s="215"/>
      <c r="B873" s="274" t="s">
        <v>694</v>
      </c>
      <c r="C873" s="275">
        <v>35</v>
      </c>
      <c r="D873" s="275">
        <v>70</v>
      </c>
      <c r="E873" s="275">
        <v>70</v>
      </c>
      <c r="F873" s="275">
        <v>98</v>
      </c>
      <c r="G873" s="275">
        <v>106</v>
      </c>
      <c r="H873" s="129">
        <f t="shared" si="36"/>
        <v>344</v>
      </c>
      <c r="I873" s="275">
        <f t="shared" si="38"/>
        <v>110.24</v>
      </c>
      <c r="J873" s="275">
        <f t="shared" si="39"/>
        <v>114.64959999999999</v>
      </c>
      <c r="K873" s="275">
        <f t="shared" si="39"/>
        <v>119.23558399999999</v>
      </c>
      <c r="L873" s="275">
        <f t="shared" si="39"/>
        <v>124.00500735999999</v>
      </c>
      <c r="M873" s="129">
        <f t="shared" si="40"/>
        <v>468.13019135999997</v>
      </c>
      <c r="N873" s="275">
        <f t="shared" si="41"/>
        <v>128.96520765439999</v>
      </c>
      <c r="O873" s="275">
        <f t="shared" si="42"/>
        <v>134.123815960576</v>
      </c>
      <c r="P873" s="275">
        <f t="shared" si="42"/>
        <v>139.48876859899903</v>
      </c>
      <c r="Q873" s="275">
        <f t="shared" si="42"/>
        <v>145.068319342959</v>
      </c>
      <c r="R873" s="129">
        <f t="shared" si="43"/>
        <v>547.6461115569341</v>
      </c>
      <c r="S873" s="275">
        <f t="shared" si="44"/>
        <v>569.5519560192115</v>
      </c>
      <c r="T873" s="275">
        <f t="shared" si="44"/>
        <v>592.33403425997994</v>
      </c>
      <c r="U873" s="275">
        <f t="shared" si="44"/>
        <v>616.02739563037915</v>
      </c>
      <c r="V873" s="275">
        <f t="shared" si="44"/>
        <v>640.66849145559434</v>
      </c>
      <c r="W873" s="129">
        <f t="shared" si="45"/>
        <v>2418.5818773651649</v>
      </c>
    </row>
    <row r="874" spans="1:23" s="119" customFormat="1" ht="12.75" x14ac:dyDescent="0.2">
      <c r="A874" s="215"/>
      <c r="B874" s="274" t="s">
        <v>465</v>
      </c>
      <c r="C874" s="275">
        <v>72</v>
      </c>
      <c r="D874" s="275">
        <v>70</v>
      </c>
      <c r="E874" s="275">
        <v>70</v>
      </c>
      <c r="F874" s="275">
        <v>73</v>
      </c>
      <c r="G874" s="275">
        <v>105</v>
      </c>
      <c r="H874" s="129">
        <f t="shared" si="36"/>
        <v>318</v>
      </c>
      <c r="I874" s="275">
        <f t="shared" si="38"/>
        <v>109.2</v>
      </c>
      <c r="J874" s="275">
        <f t="shared" si="39"/>
        <v>113.568</v>
      </c>
      <c r="K874" s="275">
        <f t="shared" si="39"/>
        <v>118.11072</v>
      </c>
      <c r="L874" s="275">
        <f t="shared" si="39"/>
        <v>122.8351488</v>
      </c>
      <c r="M874" s="129">
        <f t="shared" si="40"/>
        <v>463.7138688</v>
      </c>
      <c r="N874" s="275">
        <f t="shared" si="41"/>
        <v>127.748554752</v>
      </c>
      <c r="O874" s="275">
        <f t="shared" si="42"/>
        <v>132.85849694208</v>
      </c>
      <c r="P874" s="275">
        <f t="shared" si="42"/>
        <v>138.17283681976321</v>
      </c>
      <c r="Q874" s="275">
        <f t="shared" si="42"/>
        <v>143.69975029255374</v>
      </c>
      <c r="R874" s="129">
        <f t="shared" si="43"/>
        <v>542.47963880639691</v>
      </c>
      <c r="S874" s="275">
        <f t="shared" si="44"/>
        <v>564.17882435865283</v>
      </c>
      <c r="T874" s="275">
        <f t="shared" si="44"/>
        <v>586.7459773329989</v>
      </c>
      <c r="U874" s="275">
        <f t="shared" si="44"/>
        <v>610.21581642631884</v>
      </c>
      <c r="V874" s="275">
        <f t="shared" si="44"/>
        <v>634.62444908337159</v>
      </c>
      <c r="W874" s="129">
        <f t="shared" si="45"/>
        <v>2395.7650672013419</v>
      </c>
    </row>
    <row r="875" spans="1:23" s="119" customFormat="1" ht="12.75" x14ac:dyDescent="0.2">
      <c r="A875" s="215"/>
      <c r="B875" s="274" t="s">
        <v>467</v>
      </c>
      <c r="C875" s="275">
        <v>102</v>
      </c>
      <c r="D875" s="275">
        <v>120</v>
      </c>
      <c r="E875" s="275">
        <v>120</v>
      </c>
      <c r="F875" s="275">
        <f>(E875*4%+E875)</f>
        <v>124.8</v>
      </c>
      <c r="G875" s="275">
        <v>205</v>
      </c>
      <c r="H875" s="129">
        <f t="shared" si="36"/>
        <v>569.79999999999995</v>
      </c>
      <c r="I875" s="275">
        <f t="shared" si="38"/>
        <v>213.2</v>
      </c>
      <c r="J875" s="275">
        <f t="shared" si="39"/>
        <v>221.72799999999998</v>
      </c>
      <c r="K875" s="275">
        <f t="shared" si="39"/>
        <v>230.59711999999999</v>
      </c>
      <c r="L875" s="275">
        <f t="shared" si="39"/>
        <v>239.8210048</v>
      </c>
      <c r="M875" s="129">
        <f t="shared" si="40"/>
        <v>905.34612479999998</v>
      </c>
      <c r="N875" s="275">
        <f t="shared" si="41"/>
        <v>249.41384499200001</v>
      </c>
      <c r="O875" s="275">
        <f t="shared" si="42"/>
        <v>259.39039879168001</v>
      </c>
      <c r="P875" s="275">
        <f t="shared" si="42"/>
        <v>269.76601474334723</v>
      </c>
      <c r="Q875" s="275">
        <f t="shared" si="42"/>
        <v>280.5566553330811</v>
      </c>
      <c r="R875" s="129">
        <f t="shared" si="43"/>
        <v>1059.1269138601083</v>
      </c>
      <c r="S875" s="275">
        <f t="shared" si="44"/>
        <v>1101.4919904145127</v>
      </c>
      <c r="T875" s="275">
        <f t="shared" si="44"/>
        <v>1145.5516700310932</v>
      </c>
      <c r="U875" s="275">
        <f t="shared" si="44"/>
        <v>1191.3737368323368</v>
      </c>
      <c r="V875" s="275">
        <f t="shared" si="44"/>
        <v>1239.0286863056303</v>
      </c>
      <c r="W875" s="129">
        <f t="shared" si="45"/>
        <v>4677.4460835835725</v>
      </c>
    </row>
    <row r="876" spans="1:23" s="119" customFormat="1" ht="12.75" x14ac:dyDescent="0.2">
      <c r="A876" s="215"/>
      <c r="B876" s="274" t="s">
        <v>445</v>
      </c>
      <c r="C876" s="275">
        <v>98</v>
      </c>
      <c r="D876" s="275">
        <v>120</v>
      </c>
      <c r="E876" s="275">
        <v>120</v>
      </c>
      <c r="F876" s="275">
        <f>(E876*4%+E876)</f>
        <v>124.8</v>
      </c>
      <c r="G876" s="275">
        <v>165</v>
      </c>
      <c r="H876" s="129">
        <f t="shared" si="36"/>
        <v>529.79999999999995</v>
      </c>
      <c r="I876" s="275">
        <f t="shared" si="38"/>
        <v>171.6</v>
      </c>
      <c r="J876" s="275">
        <f t="shared" si="39"/>
        <v>178.464</v>
      </c>
      <c r="K876" s="275">
        <f t="shared" si="39"/>
        <v>185.60256000000001</v>
      </c>
      <c r="L876" s="275">
        <f t="shared" si="39"/>
        <v>193.02666240000002</v>
      </c>
      <c r="M876" s="129">
        <f t="shared" si="40"/>
        <v>728.69322239999997</v>
      </c>
      <c r="N876" s="275">
        <f t="shared" si="41"/>
        <v>200.74772889600001</v>
      </c>
      <c r="O876" s="275">
        <f t="shared" si="42"/>
        <v>208.77763805184</v>
      </c>
      <c r="P876" s="275">
        <f t="shared" si="42"/>
        <v>217.1287435739136</v>
      </c>
      <c r="Q876" s="275">
        <f t="shared" si="42"/>
        <v>225.81389331687015</v>
      </c>
      <c r="R876" s="129">
        <f t="shared" si="43"/>
        <v>852.46800383862376</v>
      </c>
      <c r="S876" s="275">
        <f t="shared" si="44"/>
        <v>886.5667239921687</v>
      </c>
      <c r="T876" s="275">
        <f t="shared" si="44"/>
        <v>922.02939295185547</v>
      </c>
      <c r="U876" s="275">
        <f t="shared" si="44"/>
        <v>958.91056866992972</v>
      </c>
      <c r="V876" s="275">
        <f t="shared" si="44"/>
        <v>997.26699141672691</v>
      </c>
      <c r="W876" s="129">
        <f t="shared" si="45"/>
        <v>3764.7736770306806</v>
      </c>
    </row>
    <row r="877" spans="1:23" s="119" customFormat="1" ht="12.75" x14ac:dyDescent="0.2">
      <c r="A877" s="215"/>
      <c r="B877" s="274" t="s">
        <v>469</v>
      </c>
      <c r="C877" s="275">
        <v>90</v>
      </c>
      <c r="D877" s="275">
        <v>70</v>
      </c>
      <c r="E877" s="275">
        <f>(D877*4%+D877)</f>
        <v>72.8</v>
      </c>
      <c r="F877" s="275">
        <v>96</v>
      </c>
      <c r="G877" s="275">
        <v>105</v>
      </c>
      <c r="H877" s="129">
        <f t="shared" si="36"/>
        <v>343.8</v>
      </c>
      <c r="I877" s="275">
        <f t="shared" si="38"/>
        <v>109.2</v>
      </c>
      <c r="J877" s="275">
        <f t="shared" si="39"/>
        <v>113.568</v>
      </c>
      <c r="K877" s="275">
        <f t="shared" si="39"/>
        <v>118.11072</v>
      </c>
      <c r="L877" s="275">
        <f t="shared" si="39"/>
        <v>122.8351488</v>
      </c>
      <c r="M877" s="129">
        <f t="shared" si="40"/>
        <v>463.7138688</v>
      </c>
      <c r="N877" s="275">
        <f t="shared" si="41"/>
        <v>127.748554752</v>
      </c>
      <c r="O877" s="275">
        <f t="shared" si="42"/>
        <v>132.85849694208</v>
      </c>
      <c r="P877" s="275">
        <f t="shared" si="42"/>
        <v>138.17283681976321</v>
      </c>
      <c r="Q877" s="275">
        <f t="shared" si="42"/>
        <v>143.69975029255374</v>
      </c>
      <c r="R877" s="129">
        <f t="shared" si="43"/>
        <v>542.47963880639691</v>
      </c>
      <c r="S877" s="275">
        <f t="shared" si="44"/>
        <v>564.17882435865283</v>
      </c>
      <c r="T877" s="275">
        <f t="shared" si="44"/>
        <v>586.7459773329989</v>
      </c>
      <c r="U877" s="275">
        <f t="shared" si="44"/>
        <v>610.21581642631884</v>
      </c>
      <c r="V877" s="275">
        <f t="shared" si="44"/>
        <v>634.62444908337159</v>
      </c>
      <c r="W877" s="129">
        <f t="shared" si="45"/>
        <v>2395.7650672013419</v>
      </c>
    </row>
    <row r="878" spans="1:23" s="119" customFormat="1" ht="12.75" x14ac:dyDescent="0.2">
      <c r="A878" s="215"/>
      <c r="B878" s="274" t="s">
        <v>470</v>
      </c>
      <c r="C878" s="275">
        <v>59</v>
      </c>
      <c r="D878" s="275">
        <v>70</v>
      </c>
      <c r="E878" s="275">
        <v>65</v>
      </c>
      <c r="F878" s="275">
        <v>72</v>
      </c>
      <c r="G878" s="275">
        <v>135</v>
      </c>
      <c r="H878" s="129">
        <f t="shared" si="36"/>
        <v>342</v>
      </c>
      <c r="I878" s="275">
        <f t="shared" si="38"/>
        <v>140.4</v>
      </c>
      <c r="J878" s="275">
        <f t="shared" si="39"/>
        <v>146.01600000000002</v>
      </c>
      <c r="K878" s="275">
        <f t="shared" si="39"/>
        <v>151.85664000000003</v>
      </c>
      <c r="L878" s="275">
        <f t="shared" si="39"/>
        <v>157.93090560000002</v>
      </c>
      <c r="M878" s="129">
        <f t="shared" si="40"/>
        <v>596.2035456000001</v>
      </c>
      <c r="N878" s="275">
        <f t="shared" si="41"/>
        <v>164.24814182400002</v>
      </c>
      <c r="O878" s="275">
        <f t="shared" si="42"/>
        <v>170.81806749696003</v>
      </c>
      <c r="P878" s="275">
        <f t="shared" si="42"/>
        <v>177.65079019683841</v>
      </c>
      <c r="Q878" s="275">
        <f t="shared" si="42"/>
        <v>184.75682180471196</v>
      </c>
      <c r="R878" s="129">
        <f t="shared" si="43"/>
        <v>697.4738213225105</v>
      </c>
      <c r="S878" s="275">
        <f t="shared" si="44"/>
        <v>725.37277417541088</v>
      </c>
      <c r="T878" s="275">
        <f t="shared" si="44"/>
        <v>754.38768514242736</v>
      </c>
      <c r="U878" s="275">
        <f t="shared" si="44"/>
        <v>784.56319254812445</v>
      </c>
      <c r="V878" s="275">
        <f t="shared" si="44"/>
        <v>815.94572025004948</v>
      </c>
      <c r="W878" s="129">
        <f t="shared" si="45"/>
        <v>3080.2693721160122</v>
      </c>
    </row>
    <row r="879" spans="1:23" s="119" customFormat="1" ht="12.75" x14ac:dyDescent="0.2">
      <c r="A879" s="215"/>
      <c r="B879" s="274" t="s">
        <v>471</v>
      </c>
      <c r="C879" s="275">
        <v>76</v>
      </c>
      <c r="D879" s="275">
        <v>70</v>
      </c>
      <c r="E879" s="275">
        <v>72</v>
      </c>
      <c r="F879" s="275">
        <f>(E879*4%+E879)</f>
        <v>74.88</v>
      </c>
      <c r="G879" s="275">
        <v>125</v>
      </c>
      <c r="H879" s="129">
        <f t="shared" si="36"/>
        <v>341.88</v>
      </c>
      <c r="I879" s="275">
        <f t="shared" si="38"/>
        <v>130</v>
      </c>
      <c r="J879" s="275">
        <f t="shared" si="39"/>
        <v>135.19999999999999</v>
      </c>
      <c r="K879" s="275">
        <f t="shared" si="39"/>
        <v>140.60799999999998</v>
      </c>
      <c r="L879" s="275">
        <f t="shared" si="39"/>
        <v>146.23231999999999</v>
      </c>
      <c r="M879" s="129">
        <f t="shared" si="40"/>
        <v>552.04031999999995</v>
      </c>
      <c r="N879" s="275">
        <f t="shared" si="41"/>
        <v>152.08161279999999</v>
      </c>
      <c r="O879" s="275">
        <f t="shared" si="42"/>
        <v>158.16487731199999</v>
      </c>
      <c r="P879" s="275">
        <f t="shared" si="42"/>
        <v>164.49147240447999</v>
      </c>
      <c r="Q879" s="275">
        <f t="shared" si="42"/>
        <v>171.0711313006592</v>
      </c>
      <c r="R879" s="129">
        <f t="shared" si="43"/>
        <v>645.80909381713911</v>
      </c>
      <c r="S879" s="275">
        <f t="shared" si="44"/>
        <v>671.64145756982464</v>
      </c>
      <c r="T879" s="275">
        <f t="shared" si="44"/>
        <v>698.50711587261765</v>
      </c>
      <c r="U879" s="275">
        <f t="shared" si="44"/>
        <v>726.44740050752239</v>
      </c>
      <c r="V879" s="275">
        <f t="shared" si="44"/>
        <v>755.50529652782325</v>
      </c>
      <c r="W879" s="129">
        <f t="shared" si="45"/>
        <v>2852.1012704777881</v>
      </c>
    </row>
    <row r="880" spans="1:23" s="119" customFormat="1" ht="12.75" x14ac:dyDescent="0.2">
      <c r="A880" s="215"/>
      <c r="B880" s="274" t="s">
        <v>473</v>
      </c>
      <c r="C880" s="275">
        <v>100</v>
      </c>
      <c r="D880" s="275">
        <v>120</v>
      </c>
      <c r="E880" s="275">
        <f>(D880*4%+D880)</f>
        <v>124.8</v>
      </c>
      <c r="F880" s="275">
        <f>(E880*4%+E880)</f>
        <v>129.792</v>
      </c>
      <c r="G880" s="275">
        <f>(F880*4%+F880)</f>
        <v>134.98367999999999</v>
      </c>
      <c r="H880" s="129">
        <f t="shared" si="36"/>
        <v>509.57567999999998</v>
      </c>
      <c r="I880" s="275">
        <f t="shared" si="38"/>
        <v>140.38302719999999</v>
      </c>
      <c r="J880" s="275">
        <f t="shared" si="39"/>
        <v>145.99834828799999</v>
      </c>
      <c r="K880" s="275">
        <f t="shared" si="39"/>
        <v>151.83828221951998</v>
      </c>
      <c r="L880" s="275">
        <f t="shared" si="39"/>
        <v>157.91181350830078</v>
      </c>
      <c r="M880" s="129">
        <f t="shared" si="40"/>
        <v>596.13147121582074</v>
      </c>
      <c r="N880" s="275">
        <f t="shared" si="41"/>
        <v>164.22828604863281</v>
      </c>
      <c r="O880" s="275">
        <f t="shared" si="42"/>
        <v>170.79741749057811</v>
      </c>
      <c r="P880" s="275">
        <f t="shared" si="42"/>
        <v>177.62931419020123</v>
      </c>
      <c r="Q880" s="275">
        <f t="shared" si="42"/>
        <v>184.73448675780926</v>
      </c>
      <c r="R880" s="129">
        <f t="shared" si="43"/>
        <v>697.3895044872213</v>
      </c>
      <c r="S880" s="275">
        <f t="shared" si="44"/>
        <v>725.28508466671019</v>
      </c>
      <c r="T880" s="275">
        <f t="shared" si="44"/>
        <v>754.29648805337865</v>
      </c>
      <c r="U880" s="275">
        <f t="shared" si="44"/>
        <v>784.4683475755138</v>
      </c>
      <c r="V880" s="275">
        <f t="shared" si="44"/>
        <v>815.84708147853439</v>
      </c>
      <c r="W880" s="129">
        <f t="shared" si="45"/>
        <v>3079.8970017741367</v>
      </c>
    </row>
    <row r="881" spans="1:24" s="119" customFormat="1" ht="12.75" x14ac:dyDescent="0.2">
      <c r="A881" s="215"/>
      <c r="B881" s="274" t="s">
        <v>1029</v>
      </c>
      <c r="C881" s="275">
        <v>55</v>
      </c>
      <c r="D881" s="275">
        <v>55</v>
      </c>
      <c r="E881" s="275">
        <f>(D881*4%+D881)</f>
        <v>57.2</v>
      </c>
      <c r="F881" s="275">
        <v>89</v>
      </c>
      <c r="G881" s="275">
        <f>(F881*4%+F881)</f>
        <v>92.56</v>
      </c>
      <c r="H881" s="129">
        <f t="shared" si="36"/>
        <v>293.76</v>
      </c>
      <c r="I881" s="275">
        <f t="shared" si="38"/>
        <v>96.2624</v>
      </c>
      <c r="J881" s="275">
        <f t="shared" si="39"/>
        <v>100.11289600000001</v>
      </c>
      <c r="K881" s="275">
        <f t="shared" si="39"/>
        <v>104.11741184</v>
      </c>
      <c r="L881" s="275">
        <f t="shared" si="39"/>
        <v>108.28210831360001</v>
      </c>
      <c r="M881" s="129">
        <f t="shared" si="40"/>
        <v>408.7748161536</v>
      </c>
      <c r="N881" s="275">
        <f t="shared" si="41"/>
        <v>112.61339264614401</v>
      </c>
      <c r="O881" s="275">
        <f t="shared" si="42"/>
        <v>117.11792835198976</v>
      </c>
      <c r="P881" s="275">
        <f t="shared" si="42"/>
        <v>121.80264548606935</v>
      </c>
      <c r="Q881" s="275">
        <f t="shared" si="42"/>
        <v>126.67475130551213</v>
      </c>
      <c r="R881" s="129">
        <f t="shared" si="43"/>
        <v>478.20871778971525</v>
      </c>
      <c r="S881" s="275">
        <f t="shared" si="44"/>
        <v>497.33706650130387</v>
      </c>
      <c r="T881" s="275">
        <f t="shared" si="44"/>
        <v>517.23054916135607</v>
      </c>
      <c r="U881" s="275">
        <f t="shared" si="44"/>
        <v>537.91977112781035</v>
      </c>
      <c r="V881" s="275">
        <f t="shared" si="44"/>
        <v>559.43656197292273</v>
      </c>
      <c r="W881" s="129">
        <f t="shared" si="45"/>
        <v>2111.9239487633931</v>
      </c>
    </row>
    <row r="882" spans="1:24" s="119" customFormat="1" ht="12.75" x14ac:dyDescent="0.2">
      <c r="A882" s="215"/>
      <c r="B882" s="274" t="s">
        <v>1030</v>
      </c>
      <c r="C882" s="275"/>
      <c r="D882" s="275"/>
      <c r="E882" s="275"/>
      <c r="F882" s="275">
        <v>0</v>
      </c>
      <c r="G882" s="275">
        <f>(F882*4%+F882)</f>
        <v>0</v>
      </c>
      <c r="H882" s="129">
        <f t="shared" si="36"/>
        <v>0</v>
      </c>
      <c r="I882" s="275">
        <f t="shared" si="38"/>
        <v>0</v>
      </c>
      <c r="J882" s="275">
        <f t="shared" si="39"/>
        <v>0</v>
      </c>
      <c r="K882" s="275">
        <f t="shared" si="39"/>
        <v>0</v>
      </c>
      <c r="L882" s="275">
        <f t="shared" si="39"/>
        <v>0</v>
      </c>
      <c r="M882" s="129">
        <f t="shared" si="40"/>
        <v>0</v>
      </c>
      <c r="N882" s="275">
        <f t="shared" si="41"/>
        <v>0</v>
      </c>
      <c r="O882" s="275">
        <f t="shared" si="42"/>
        <v>0</v>
      </c>
      <c r="P882" s="275">
        <f t="shared" si="42"/>
        <v>0</v>
      </c>
      <c r="Q882" s="275">
        <f t="shared" si="42"/>
        <v>0</v>
      </c>
      <c r="R882" s="129">
        <f t="shared" si="43"/>
        <v>0</v>
      </c>
      <c r="S882" s="275">
        <f t="shared" si="44"/>
        <v>0</v>
      </c>
      <c r="T882" s="275">
        <f t="shared" si="44"/>
        <v>0</v>
      </c>
      <c r="U882" s="275">
        <f t="shared" si="44"/>
        <v>0</v>
      </c>
      <c r="V882" s="275">
        <f t="shared" si="44"/>
        <v>0</v>
      </c>
      <c r="W882" s="129">
        <f t="shared" si="45"/>
        <v>0</v>
      </c>
    </row>
    <row r="883" spans="1:24" s="119" customFormat="1" ht="12.75" x14ac:dyDescent="0.2">
      <c r="A883" s="215"/>
      <c r="B883" s="274" t="s">
        <v>446</v>
      </c>
      <c r="C883" s="275">
        <v>100</v>
      </c>
      <c r="D883" s="275">
        <v>120</v>
      </c>
      <c r="E883" s="275">
        <f t="shared" ref="E883:F891" si="46">(D883*4%+D883)</f>
        <v>124.8</v>
      </c>
      <c r="F883" s="275">
        <f t="shared" si="46"/>
        <v>129.792</v>
      </c>
      <c r="G883" s="275">
        <f>(F883*4%+F883)</f>
        <v>134.98367999999999</v>
      </c>
      <c r="H883" s="129">
        <f t="shared" si="36"/>
        <v>509.57567999999998</v>
      </c>
      <c r="I883" s="275">
        <f t="shared" si="38"/>
        <v>140.38302719999999</v>
      </c>
      <c r="J883" s="275">
        <f t="shared" si="39"/>
        <v>145.99834828799999</v>
      </c>
      <c r="K883" s="275">
        <f t="shared" si="39"/>
        <v>151.83828221951998</v>
      </c>
      <c r="L883" s="275">
        <f t="shared" si="39"/>
        <v>157.91181350830078</v>
      </c>
      <c r="M883" s="129">
        <f t="shared" si="40"/>
        <v>596.13147121582074</v>
      </c>
      <c r="N883" s="275">
        <f t="shared" si="41"/>
        <v>164.22828604863281</v>
      </c>
      <c r="O883" s="275">
        <f t="shared" si="42"/>
        <v>170.79741749057811</v>
      </c>
      <c r="P883" s="275">
        <f t="shared" si="42"/>
        <v>177.62931419020123</v>
      </c>
      <c r="Q883" s="275">
        <f t="shared" si="42"/>
        <v>184.73448675780926</v>
      </c>
      <c r="R883" s="129">
        <f t="shared" si="43"/>
        <v>697.3895044872213</v>
      </c>
      <c r="S883" s="275">
        <f t="shared" si="44"/>
        <v>725.28508466671019</v>
      </c>
      <c r="T883" s="275">
        <f t="shared" si="44"/>
        <v>754.29648805337865</v>
      </c>
      <c r="U883" s="275">
        <f t="shared" si="44"/>
        <v>784.4683475755138</v>
      </c>
      <c r="V883" s="275">
        <f t="shared" si="44"/>
        <v>815.84708147853439</v>
      </c>
      <c r="W883" s="129">
        <f t="shared" si="45"/>
        <v>3079.8970017741367</v>
      </c>
    </row>
    <row r="884" spans="1:24" s="119" customFormat="1" ht="12.75" x14ac:dyDescent="0.2">
      <c r="A884" s="215"/>
      <c r="B884" s="274" t="s">
        <v>699</v>
      </c>
      <c r="C884" s="275"/>
      <c r="D884" s="275"/>
      <c r="E884" s="275">
        <v>73</v>
      </c>
      <c r="F884" s="275">
        <f t="shared" si="46"/>
        <v>75.92</v>
      </c>
      <c r="G884" s="275">
        <v>106</v>
      </c>
      <c r="H884" s="129">
        <f t="shared" si="36"/>
        <v>254.92000000000002</v>
      </c>
      <c r="I884" s="275">
        <f t="shared" si="38"/>
        <v>110.24</v>
      </c>
      <c r="J884" s="275">
        <f t="shared" si="39"/>
        <v>114.64959999999999</v>
      </c>
      <c r="K884" s="275">
        <f t="shared" si="39"/>
        <v>119.23558399999999</v>
      </c>
      <c r="L884" s="275">
        <f t="shared" si="39"/>
        <v>124.00500735999999</v>
      </c>
      <c r="M884" s="129">
        <f t="shared" si="40"/>
        <v>468.13019135999997</v>
      </c>
      <c r="N884" s="275">
        <f t="shared" si="41"/>
        <v>128.96520765439999</v>
      </c>
      <c r="O884" s="275">
        <f t="shared" si="42"/>
        <v>134.123815960576</v>
      </c>
      <c r="P884" s="275">
        <f t="shared" si="42"/>
        <v>139.48876859899903</v>
      </c>
      <c r="Q884" s="275">
        <f t="shared" si="42"/>
        <v>145.068319342959</v>
      </c>
      <c r="R884" s="129">
        <f t="shared" si="43"/>
        <v>547.6461115569341</v>
      </c>
      <c r="S884" s="275">
        <f t="shared" si="44"/>
        <v>569.5519560192115</v>
      </c>
      <c r="T884" s="275">
        <f t="shared" si="44"/>
        <v>592.33403425997994</v>
      </c>
      <c r="U884" s="275">
        <f t="shared" si="44"/>
        <v>616.02739563037915</v>
      </c>
      <c r="V884" s="275">
        <f t="shared" si="44"/>
        <v>640.66849145559434</v>
      </c>
      <c r="W884" s="129">
        <f t="shared" si="45"/>
        <v>2418.5818773651649</v>
      </c>
    </row>
    <row r="885" spans="1:24" s="119" customFormat="1" ht="12.75" x14ac:dyDescent="0.2">
      <c r="A885" s="215"/>
      <c r="B885" s="274" t="s">
        <v>476</v>
      </c>
      <c r="C885" s="275">
        <v>96</v>
      </c>
      <c r="D885" s="275">
        <v>70</v>
      </c>
      <c r="E885" s="275">
        <f t="shared" si="46"/>
        <v>72.8</v>
      </c>
      <c r="F885" s="275">
        <f t="shared" si="46"/>
        <v>75.712000000000003</v>
      </c>
      <c r="G885" s="275">
        <v>155</v>
      </c>
      <c r="H885" s="129">
        <f t="shared" si="36"/>
        <v>373.512</v>
      </c>
      <c r="I885" s="275">
        <f t="shared" si="38"/>
        <v>161.19999999999999</v>
      </c>
      <c r="J885" s="275">
        <f t="shared" si="39"/>
        <v>167.648</v>
      </c>
      <c r="K885" s="275">
        <f t="shared" si="39"/>
        <v>174.35391999999999</v>
      </c>
      <c r="L885" s="275">
        <f t="shared" si="39"/>
        <v>181.32807679999999</v>
      </c>
      <c r="M885" s="129">
        <f t="shared" si="40"/>
        <v>684.52999679999994</v>
      </c>
      <c r="N885" s="275">
        <f t="shared" si="41"/>
        <v>188.58119987199998</v>
      </c>
      <c r="O885" s="275">
        <f t="shared" si="42"/>
        <v>196.12444786687999</v>
      </c>
      <c r="P885" s="275">
        <f t="shared" si="42"/>
        <v>203.9694257815552</v>
      </c>
      <c r="Q885" s="275">
        <f t="shared" si="42"/>
        <v>212.12820281281742</v>
      </c>
      <c r="R885" s="129">
        <f t="shared" si="43"/>
        <v>800.8032763332526</v>
      </c>
      <c r="S885" s="275">
        <f t="shared" si="44"/>
        <v>832.83540738658269</v>
      </c>
      <c r="T885" s="275">
        <f t="shared" si="44"/>
        <v>866.14882368204599</v>
      </c>
      <c r="U885" s="275">
        <f t="shared" si="44"/>
        <v>900.79477662932777</v>
      </c>
      <c r="V885" s="275">
        <f t="shared" si="44"/>
        <v>936.82656769450091</v>
      </c>
      <c r="W885" s="129">
        <f t="shared" si="45"/>
        <v>3536.6055753924575</v>
      </c>
    </row>
    <row r="886" spans="1:24" s="119" customFormat="1" ht="12.75" x14ac:dyDescent="0.2">
      <c r="A886" s="215"/>
      <c r="B886" s="274" t="s">
        <v>477</v>
      </c>
      <c r="C886" s="275">
        <v>75</v>
      </c>
      <c r="D886" s="275">
        <v>70</v>
      </c>
      <c r="E886" s="275">
        <f t="shared" si="46"/>
        <v>72.8</v>
      </c>
      <c r="F886" s="275">
        <f t="shared" si="46"/>
        <v>75.712000000000003</v>
      </c>
      <c r="G886" s="275">
        <v>105</v>
      </c>
      <c r="H886" s="129">
        <f t="shared" si="36"/>
        <v>323.512</v>
      </c>
      <c r="I886" s="275">
        <f t="shared" si="38"/>
        <v>109.2</v>
      </c>
      <c r="J886" s="275">
        <f t="shared" si="39"/>
        <v>113.568</v>
      </c>
      <c r="K886" s="275">
        <f t="shared" si="39"/>
        <v>118.11072</v>
      </c>
      <c r="L886" s="275">
        <f t="shared" si="39"/>
        <v>122.8351488</v>
      </c>
      <c r="M886" s="129">
        <f t="shared" si="40"/>
        <v>463.7138688</v>
      </c>
      <c r="N886" s="275">
        <f t="shared" si="41"/>
        <v>127.748554752</v>
      </c>
      <c r="O886" s="275">
        <f t="shared" si="42"/>
        <v>132.85849694208</v>
      </c>
      <c r="P886" s="275">
        <f t="shared" si="42"/>
        <v>138.17283681976321</v>
      </c>
      <c r="Q886" s="275">
        <f t="shared" si="42"/>
        <v>143.69975029255374</v>
      </c>
      <c r="R886" s="129">
        <f t="shared" si="43"/>
        <v>542.47963880639691</v>
      </c>
      <c r="S886" s="275">
        <f t="shared" si="44"/>
        <v>564.17882435865283</v>
      </c>
      <c r="T886" s="275">
        <f t="shared" si="44"/>
        <v>586.7459773329989</v>
      </c>
      <c r="U886" s="275">
        <f t="shared" si="44"/>
        <v>610.21581642631884</v>
      </c>
      <c r="V886" s="275">
        <f t="shared" si="44"/>
        <v>634.62444908337159</v>
      </c>
      <c r="W886" s="129">
        <f t="shared" si="45"/>
        <v>2395.7650672013419</v>
      </c>
    </row>
    <row r="887" spans="1:24" s="119" customFormat="1" ht="12.75" x14ac:dyDescent="0.2">
      <c r="A887" s="215"/>
      <c r="B887" s="274" t="s">
        <v>478</v>
      </c>
      <c r="C887" s="275">
        <v>95</v>
      </c>
      <c r="D887" s="275">
        <v>70</v>
      </c>
      <c r="E887" s="275">
        <f t="shared" si="46"/>
        <v>72.8</v>
      </c>
      <c r="F887" s="275">
        <f t="shared" si="46"/>
        <v>75.712000000000003</v>
      </c>
      <c r="G887" s="275">
        <v>122</v>
      </c>
      <c r="H887" s="129">
        <f t="shared" si="36"/>
        <v>340.512</v>
      </c>
      <c r="I887" s="275">
        <f t="shared" si="38"/>
        <v>126.88</v>
      </c>
      <c r="J887" s="275">
        <f t="shared" si="39"/>
        <v>131.95519999999999</v>
      </c>
      <c r="K887" s="275">
        <f t="shared" si="39"/>
        <v>137.233408</v>
      </c>
      <c r="L887" s="275">
        <f t="shared" si="39"/>
        <v>142.72274432</v>
      </c>
      <c r="M887" s="129">
        <f t="shared" si="40"/>
        <v>538.79135231999999</v>
      </c>
      <c r="N887" s="275">
        <f t="shared" si="41"/>
        <v>148.43165409280002</v>
      </c>
      <c r="O887" s="275">
        <f t="shared" si="42"/>
        <v>154.36892025651201</v>
      </c>
      <c r="P887" s="275">
        <f t="shared" si="42"/>
        <v>160.54367706677249</v>
      </c>
      <c r="Q887" s="275">
        <f t="shared" si="42"/>
        <v>166.96542414944338</v>
      </c>
      <c r="R887" s="129">
        <f t="shared" si="43"/>
        <v>630.30967556552787</v>
      </c>
      <c r="S887" s="275">
        <f t="shared" si="44"/>
        <v>655.52206258814897</v>
      </c>
      <c r="T887" s="275">
        <f t="shared" si="44"/>
        <v>681.74294509167498</v>
      </c>
      <c r="U887" s="275">
        <f t="shared" si="44"/>
        <v>709.01266289534203</v>
      </c>
      <c r="V887" s="275">
        <f t="shared" si="44"/>
        <v>737.37316941115569</v>
      </c>
      <c r="W887" s="129">
        <f t="shared" si="45"/>
        <v>2783.6508399863219</v>
      </c>
    </row>
    <row r="888" spans="1:24" s="119" customFormat="1" ht="12.75" x14ac:dyDescent="0.2">
      <c r="A888" s="215"/>
      <c r="B888" s="274" t="s">
        <v>479</v>
      </c>
      <c r="C888" s="275">
        <v>100</v>
      </c>
      <c r="D888" s="275">
        <v>120</v>
      </c>
      <c r="E888" s="275">
        <f t="shared" si="46"/>
        <v>124.8</v>
      </c>
      <c r="F888" s="275">
        <f t="shared" si="46"/>
        <v>129.792</v>
      </c>
      <c r="G888" s="275">
        <v>155</v>
      </c>
      <c r="H888" s="129">
        <f t="shared" si="36"/>
        <v>529.59199999999998</v>
      </c>
      <c r="I888" s="275">
        <f t="shared" si="38"/>
        <v>161.19999999999999</v>
      </c>
      <c r="J888" s="275">
        <f t="shared" si="39"/>
        <v>167.648</v>
      </c>
      <c r="K888" s="275">
        <f t="shared" si="39"/>
        <v>174.35391999999999</v>
      </c>
      <c r="L888" s="275">
        <f t="shared" si="39"/>
        <v>181.32807679999999</v>
      </c>
      <c r="M888" s="129">
        <f t="shared" si="40"/>
        <v>684.52999679999994</v>
      </c>
      <c r="N888" s="275">
        <f t="shared" si="41"/>
        <v>188.58119987199998</v>
      </c>
      <c r="O888" s="275">
        <f t="shared" si="42"/>
        <v>196.12444786687999</v>
      </c>
      <c r="P888" s="275">
        <f t="shared" si="42"/>
        <v>203.9694257815552</v>
      </c>
      <c r="Q888" s="275">
        <f t="shared" si="42"/>
        <v>212.12820281281742</v>
      </c>
      <c r="R888" s="129">
        <f t="shared" si="43"/>
        <v>800.8032763332526</v>
      </c>
      <c r="S888" s="275">
        <f t="shared" si="44"/>
        <v>832.83540738658269</v>
      </c>
      <c r="T888" s="275">
        <f t="shared" si="44"/>
        <v>866.14882368204599</v>
      </c>
      <c r="U888" s="275">
        <f t="shared" si="44"/>
        <v>900.79477662932777</v>
      </c>
      <c r="V888" s="275">
        <f t="shared" si="44"/>
        <v>936.82656769450091</v>
      </c>
      <c r="W888" s="129">
        <f t="shared" si="45"/>
        <v>3536.6055753924575</v>
      </c>
    </row>
    <row r="889" spans="1:24" s="119" customFormat="1" ht="12.75" x14ac:dyDescent="0.2">
      <c r="A889" s="215"/>
      <c r="B889" s="274" t="s">
        <v>481</v>
      </c>
      <c r="C889" s="275">
        <v>100</v>
      </c>
      <c r="D889" s="275">
        <v>120</v>
      </c>
      <c r="E889" s="275">
        <f t="shared" si="46"/>
        <v>124.8</v>
      </c>
      <c r="F889" s="275">
        <f t="shared" si="46"/>
        <v>129.792</v>
      </c>
      <c r="G889" s="275">
        <v>155</v>
      </c>
      <c r="H889" s="129">
        <f t="shared" si="36"/>
        <v>529.59199999999998</v>
      </c>
      <c r="I889" s="275">
        <f t="shared" si="38"/>
        <v>161.19999999999999</v>
      </c>
      <c r="J889" s="275">
        <f t="shared" si="39"/>
        <v>167.648</v>
      </c>
      <c r="K889" s="275">
        <f t="shared" si="39"/>
        <v>174.35391999999999</v>
      </c>
      <c r="L889" s="275">
        <f t="shared" si="39"/>
        <v>181.32807679999999</v>
      </c>
      <c r="M889" s="129">
        <f t="shared" si="40"/>
        <v>684.52999679999994</v>
      </c>
      <c r="N889" s="275">
        <f t="shared" si="41"/>
        <v>188.58119987199998</v>
      </c>
      <c r="O889" s="275">
        <f t="shared" si="42"/>
        <v>196.12444786687999</v>
      </c>
      <c r="P889" s="275">
        <f t="shared" si="42"/>
        <v>203.9694257815552</v>
      </c>
      <c r="Q889" s="275">
        <f t="shared" si="42"/>
        <v>212.12820281281742</v>
      </c>
      <c r="R889" s="129">
        <f t="shared" si="43"/>
        <v>800.8032763332526</v>
      </c>
      <c r="S889" s="275">
        <f t="shared" si="44"/>
        <v>832.83540738658269</v>
      </c>
      <c r="T889" s="275">
        <f t="shared" si="44"/>
        <v>866.14882368204599</v>
      </c>
      <c r="U889" s="275">
        <f t="shared" si="44"/>
        <v>900.79477662932777</v>
      </c>
      <c r="V889" s="275">
        <f t="shared" si="44"/>
        <v>936.82656769450091</v>
      </c>
      <c r="W889" s="129">
        <f t="shared" si="45"/>
        <v>3536.6055753924575</v>
      </c>
    </row>
    <row r="890" spans="1:24" s="119" customFormat="1" ht="12.75" x14ac:dyDescent="0.2">
      <c r="A890" s="215"/>
      <c r="B890" s="274" t="s">
        <v>442</v>
      </c>
      <c r="C890" s="275">
        <v>100</v>
      </c>
      <c r="D890" s="275">
        <v>120</v>
      </c>
      <c r="E890" s="275">
        <f>(D890*4%+D890)</f>
        <v>124.8</v>
      </c>
      <c r="F890" s="275">
        <f t="shared" si="46"/>
        <v>129.792</v>
      </c>
      <c r="G890" s="275">
        <v>185</v>
      </c>
      <c r="H890" s="129">
        <f t="shared" si="36"/>
        <v>559.59199999999998</v>
      </c>
      <c r="I890" s="275">
        <f t="shared" si="38"/>
        <v>192.4</v>
      </c>
      <c r="J890" s="275">
        <f t="shared" si="39"/>
        <v>200.096</v>
      </c>
      <c r="K890" s="275">
        <f t="shared" si="39"/>
        <v>208.09984</v>
      </c>
      <c r="L890" s="275">
        <f t="shared" si="39"/>
        <v>216.42383359999999</v>
      </c>
      <c r="M890" s="129">
        <f t="shared" si="40"/>
        <v>817.01967359999992</v>
      </c>
      <c r="N890" s="275">
        <f t="shared" si="41"/>
        <v>225.08078694399998</v>
      </c>
      <c r="O890" s="275">
        <f t="shared" si="42"/>
        <v>234.08401842175999</v>
      </c>
      <c r="P890" s="275">
        <f t="shared" si="42"/>
        <v>243.44737915863038</v>
      </c>
      <c r="Q890" s="275">
        <f t="shared" si="42"/>
        <v>253.18527432497561</v>
      </c>
      <c r="R890" s="129">
        <f t="shared" si="43"/>
        <v>955.79745884936597</v>
      </c>
      <c r="S890" s="275">
        <f t="shared" si="44"/>
        <v>994.02935720334062</v>
      </c>
      <c r="T890" s="275">
        <f t="shared" si="44"/>
        <v>1033.7905314914742</v>
      </c>
      <c r="U890" s="275">
        <f t="shared" si="44"/>
        <v>1075.1421527511332</v>
      </c>
      <c r="V890" s="275">
        <f t="shared" si="44"/>
        <v>1118.1478388611786</v>
      </c>
      <c r="W890" s="129">
        <f t="shared" si="45"/>
        <v>4221.1098803071263</v>
      </c>
    </row>
    <row r="891" spans="1:24" s="119" customFormat="1" ht="12.75" x14ac:dyDescent="0.2">
      <c r="A891" s="215"/>
      <c r="B891" s="271" t="s">
        <v>435</v>
      </c>
      <c r="C891" s="275"/>
      <c r="D891" s="275">
        <v>120</v>
      </c>
      <c r="E891" s="275">
        <v>239</v>
      </c>
      <c r="F891" s="275">
        <f t="shared" si="46"/>
        <v>248.56</v>
      </c>
      <c r="G891" s="275">
        <v>289</v>
      </c>
      <c r="H891" s="129">
        <f t="shared" si="36"/>
        <v>896.56</v>
      </c>
      <c r="I891" s="275">
        <f t="shared" si="38"/>
        <v>300.56</v>
      </c>
      <c r="J891" s="275">
        <f t="shared" si="39"/>
        <v>312.58240000000001</v>
      </c>
      <c r="K891" s="275">
        <f t="shared" si="39"/>
        <v>325.08569599999998</v>
      </c>
      <c r="L891" s="275">
        <f t="shared" si="39"/>
        <v>338.08912383999996</v>
      </c>
      <c r="M891" s="129">
        <f t="shared" si="40"/>
        <v>1276.3172198399998</v>
      </c>
      <c r="N891" s="275">
        <f t="shared" si="41"/>
        <v>351.61268879359994</v>
      </c>
      <c r="O891" s="275">
        <f t="shared" si="42"/>
        <v>365.67719634534393</v>
      </c>
      <c r="P891" s="275">
        <f t="shared" si="42"/>
        <v>380.30428419915768</v>
      </c>
      <c r="Q891" s="275">
        <f t="shared" si="42"/>
        <v>395.51645556712401</v>
      </c>
      <c r="R891" s="129">
        <f t="shared" si="43"/>
        <v>1493.1106249052254</v>
      </c>
      <c r="S891" s="275">
        <f t="shared" si="44"/>
        <v>1552.8350499014346</v>
      </c>
      <c r="T891" s="275">
        <f t="shared" si="44"/>
        <v>1614.9484518974919</v>
      </c>
      <c r="U891" s="275">
        <f t="shared" si="44"/>
        <v>1679.5463899733916</v>
      </c>
      <c r="V891" s="275">
        <f t="shared" si="44"/>
        <v>1746.7282455723273</v>
      </c>
      <c r="W891" s="129">
        <f t="shared" si="45"/>
        <v>6594.0581373446448</v>
      </c>
    </row>
    <row r="892" spans="1:24" s="119" customFormat="1" ht="12.75" x14ac:dyDescent="0.2">
      <c r="A892" s="215"/>
      <c r="B892" s="271" t="s">
        <v>1031</v>
      </c>
      <c r="C892" s="275"/>
      <c r="D892" s="275">
        <v>70</v>
      </c>
      <c r="E892" s="275">
        <v>130</v>
      </c>
      <c r="F892" s="275">
        <v>155</v>
      </c>
      <c r="G892" s="275">
        <v>182</v>
      </c>
      <c r="H892" s="129">
        <f t="shared" si="36"/>
        <v>537</v>
      </c>
      <c r="I892" s="275">
        <f t="shared" si="38"/>
        <v>189.28</v>
      </c>
      <c r="J892" s="275">
        <f t="shared" si="39"/>
        <v>196.85120000000001</v>
      </c>
      <c r="K892" s="275">
        <f t="shared" si="39"/>
        <v>204.72524799999999</v>
      </c>
      <c r="L892" s="275">
        <f t="shared" si="39"/>
        <v>212.91425791999998</v>
      </c>
      <c r="M892" s="129">
        <f t="shared" si="40"/>
        <v>803.77070591999995</v>
      </c>
      <c r="N892" s="275">
        <f t="shared" si="41"/>
        <v>221.43082823679998</v>
      </c>
      <c r="O892" s="275">
        <f t="shared" si="42"/>
        <v>230.28806136627199</v>
      </c>
      <c r="P892" s="275">
        <f t="shared" si="42"/>
        <v>239.49958382092288</v>
      </c>
      <c r="Q892" s="275">
        <f t="shared" si="42"/>
        <v>249.07956717375978</v>
      </c>
      <c r="R892" s="129">
        <f t="shared" si="43"/>
        <v>940.29804059775461</v>
      </c>
      <c r="S892" s="275">
        <f t="shared" si="44"/>
        <v>977.90996222166484</v>
      </c>
      <c r="T892" s="275">
        <f t="shared" si="44"/>
        <v>1017.0263607105314</v>
      </c>
      <c r="U892" s="275">
        <f t="shared" si="44"/>
        <v>1057.7074151389527</v>
      </c>
      <c r="V892" s="275">
        <f t="shared" si="44"/>
        <v>1100.0157117445108</v>
      </c>
      <c r="W892" s="129">
        <f t="shared" si="45"/>
        <v>4152.6594498156592</v>
      </c>
    </row>
    <row r="893" spans="1:24" s="187" customFormat="1" ht="25.5" x14ac:dyDescent="0.2">
      <c r="A893" s="303" t="s">
        <v>1033</v>
      </c>
      <c r="B893" s="304"/>
      <c r="C893" s="301">
        <f>SUM(C894:C928)</f>
        <v>2185</v>
      </c>
      <c r="D893" s="301">
        <f>SUM(D894:D928)</f>
        <v>2945</v>
      </c>
      <c r="E893" s="301">
        <f>SUM(E894:E928)</f>
        <v>3185.6000000000008</v>
      </c>
      <c r="F893" s="301">
        <f>SUM(F894:F928)</f>
        <v>4775.84</v>
      </c>
      <c r="G893" s="301">
        <f>SUM(G894:G928)</f>
        <v>22197.9136</v>
      </c>
      <c r="H893" s="304">
        <f>SUM(D893:G893)</f>
        <v>33104.353600000002</v>
      </c>
      <c r="I893" s="301">
        <f>SUM(I894:I928)</f>
        <v>6380.2301439999992</v>
      </c>
      <c r="J893" s="301">
        <f>SUM(J894:J928)</f>
        <v>7552.79934976</v>
      </c>
      <c r="K893" s="301">
        <f>SUM(K894:K928)</f>
        <v>7740.6313237504</v>
      </c>
      <c r="L893" s="301">
        <f>SUM(L894:L928)</f>
        <v>7311.7365767004158</v>
      </c>
      <c r="M893" s="304">
        <f>SUM(I893:L893)</f>
        <v>28985.397394210813</v>
      </c>
      <c r="N893" s="301">
        <f>SUM(N894:N928)</f>
        <v>28863.126039768431</v>
      </c>
      <c r="O893" s="301">
        <f>SUM(O894:O928)</f>
        <v>7727.8110813591702</v>
      </c>
      <c r="P893" s="301">
        <f>SUM(P894:P928)</f>
        <v>9046.8035246135369</v>
      </c>
      <c r="Q893" s="301">
        <f>SUM(Q894:Q928)</f>
        <v>9935.1156655980776</v>
      </c>
      <c r="R893" s="304">
        <f>SUM(N893:Q893)</f>
        <v>55572.856311339216</v>
      </c>
      <c r="S893" s="301">
        <f>SUM(S894:S928)</f>
        <v>9035</v>
      </c>
      <c r="T893" s="301">
        <f>SUM(T894:T928)</f>
        <v>36597</v>
      </c>
      <c r="U893" s="301">
        <f>SUM(U894:U928)</f>
        <v>9740</v>
      </c>
      <c r="V893" s="301">
        <f>SUM(V894:V928)</f>
        <v>11211</v>
      </c>
      <c r="W893" s="304">
        <f>SUM(S893:V893)</f>
        <v>66583</v>
      </c>
      <c r="X893" s="186">
        <v>42986</v>
      </c>
    </row>
    <row r="894" spans="1:24" s="119" customFormat="1" ht="12.75" x14ac:dyDescent="0.2">
      <c r="A894" s="276"/>
      <c r="B894" s="277" t="s">
        <v>450</v>
      </c>
      <c r="C894" s="180">
        <v>50</v>
      </c>
      <c r="D894" s="177">
        <v>70</v>
      </c>
      <c r="E894" s="177">
        <v>73</v>
      </c>
      <c r="F894" s="177">
        <v>79</v>
      </c>
      <c r="G894" s="177">
        <v>363</v>
      </c>
      <c r="H894" s="129">
        <v>585</v>
      </c>
      <c r="I894" s="177">
        <v>105</v>
      </c>
      <c r="J894" s="177">
        <v>156</v>
      </c>
      <c r="K894" s="177">
        <v>115</v>
      </c>
      <c r="L894" s="177">
        <v>121</v>
      </c>
      <c r="M894" s="129">
        <v>497</v>
      </c>
      <c r="N894" s="177">
        <v>466</v>
      </c>
      <c r="O894" s="177">
        <v>133</v>
      </c>
      <c r="P894" s="177">
        <v>199</v>
      </c>
      <c r="Q894" s="177">
        <v>147</v>
      </c>
      <c r="R894" s="129">
        <v>945</v>
      </c>
      <c r="S894" s="177">
        <v>154</v>
      </c>
      <c r="T894" s="177">
        <v>595</v>
      </c>
      <c r="U894" s="177">
        <v>170</v>
      </c>
      <c r="V894" s="177">
        <v>254</v>
      </c>
      <c r="W894" s="129">
        <v>1173</v>
      </c>
    </row>
    <row r="895" spans="1:24" s="119" customFormat="1" ht="12.75" x14ac:dyDescent="0.2">
      <c r="A895" s="278"/>
      <c r="B895" s="277" t="s">
        <v>443</v>
      </c>
      <c r="C895" s="180">
        <v>100</v>
      </c>
      <c r="D895" s="177">
        <v>120</v>
      </c>
      <c r="E895" s="177">
        <v>124.8</v>
      </c>
      <c r="F895" s="177">
        <v>160</v>
      </c>
      <c r="G895" s="177">
        <v>748</v>
      </c>
      <c r="H895" s="129">
        <v>1152.8</v>
      </c>
      <c r="I895" s="177">
        <v>195</v>
      </c>
      <c r="J895" s="177">
        <v>205</v>
      </c>
      <c r="K895" s="177">
        <v>312</v>
      </c>
      <c r="L895" s="177">
        <v>226</v>
      </c>
      <c r="M895" s="129">
        <v>938</v>
      </c>
      <c r="N895" s="177">
        <v>955</v>
      </c>
      <c r="O895" s="177">
        <v>149</v>
      </c>
      <c r="P895" s="177">
        <v>261</v>
      </c>
      <c r="Q895" s="177">
        <v>398</v>
      </c>
      <c r="R895" s="129">
        <v>1763</v>
      </c>
      <c r="S895" s="177">
        <v>288</v>
      </c>
      <c r="T895" s="177">
        <v>1219</v>
      </c>
      <c r="U895" s="177">
        <v>318</v>
      </c>
      <c r="V895" s="177">
        <v>333</v>
      </c>
      <c r="W895" s="129">
        <v>2158</v>
      </c>
    </row>
    <row r="896" spans="1:24" s="119" customFormat="1" ht="12.75" x14ac:dyDescent="0.2">
      <c r="A896" s="278"/>
      <c r="B896" s="277" t="s">
        <v>451</v>
      </c>
      <c r="C896" s="180">
        <v>100</v>
      </c>
      <c r="D896" s="177">
        <v>120</v>
      </c>
      <c r="E896" s="177">
        <v>124.8</v>
      </c>
      <c r="F896" s="177">
        <v>158</v>
      </c>
      <c r="G896" s="177">
        <v>740</v>
      </c>
      <c r="H896" s="129">
        <v>1142.8</v>
      </c>
      <c r="I896" s="177">
        <v>186</v>
      </c>
      <c r="J896" s="177">
        <v>195</v>
      </c>
      <c r="K896" s="177">
        <v>259</v>
      </c>
      <c r="L896" s="177">
        <v>272</v>
      </c>
      <c r="M896" s="129">
        <v>912</v>
      </c>
      <c r="N896" s="177">
        <v>950</v>
      </c>
      <c r="O896" s="177">
        <v>243</v>
      </c>
      <c r="P896" s="177">
        <v>255</v>
      </c>
      <c r="Q896" s="177">
        <v>268</v>
      </c>
      <c r="R896" s="129">
        <v>1716</v>
      </c>
      <c r="S896" s="177">
        <v>346</v>
      </c>
      <c r="T896" s="177">
        <v>1280</v>
      </c>
      <c r="U896" s="177">
        <v>310</v>
      </c>
      <c r="V896" s="177">
        <v>326</v>
      </c>
      <c r="W896" s="129">
        <v>2262</v>
      </c>
    </row>
    <row r="897" spans="1:23" s="119" customFormat="1" ht="12.75" x14ac:dyDescent="0.2">
      <c r="A897" s="278"/>
      <c r="B897" s="277" t="s">
        <v>452</v>
      </c>
      <c r="C897" s="180">
        <v>175</v>
      </c>
      <c r="D897" s="177"/>
      <c r="E897" s="177">
        <v>0</v>
      </c>
      <c r="F897" s="177">
        <v>0</v>
      </c>
      <c r="G897" s="177">
        <v>0</v>
      </c>
      <c r="H897" s="129">
        <v>0</v>
      </c>
      <c r="I897" s="177">
        <v>0</v>
      </c>
      <c r="J897" s="177">
        <v>0</v>
      </c>
      <c r="K897" s="177">
        <v>0</v>
      </c>
      <c r="L897" s="177">
        <v>0</v>
      </c>
      <c r="M897" s="129">
        <v>0</v>
      </c>
      <c r="N897" s="177">
        <v>0</v>
      </c>
      <c r="O897" s="177">
        <v>0</v>
      </c>
      <c r="P897" s="177">
        <v>0</v>
      </c>
      <c r="Q897" s="177">
        <v>0</v>
      </c>
      <c r="R897" s="129">
        <v>0</v>
      </c>
      <c r="S897" s="177"/>
      <c r="T897" s="177"/>
      <c r="U897" s="177"/>
      <c r="V897" s="177"/>
      <c r="W897" s="129">
        <v>0</v>
      </c>
    </row>
    <row r="898" spans="1:23" s="119" customFormat="1" ht="12.75" x14ac:dyDescent="0.2">
      <c r="A898" s="278"/>
      <c r="B898" s="277" t="s">
        <v>444</v>
      </c>
      <c r="C898" s="180">
        <v>100</v>
      </c>
      <c r="D898" s="177">
        <v>120</v>
      </c>
      <c r="E898" s="177">
        <v>124.8</v>
      </c>
      <c r="F898" s="177">
        <v>158</v>
      </c>
      <c r="G898" s="177">
        <v>740</v>
      </c>
      <c r="H898" s="129">
        <v>1142.8</v>
      </c>
      <c r="I898" s="177">
        <v>186</v>
      </c>
      <c r="J898" s="177">
        <v>195</v>
      </c>
      <c r="K898" s="177">
        <v>259</v>
      </c>
      <c r="L898" s="177">
        <v>272</v>
      </c>
      <c r="M898" s="129">
        <v>912</v>
      </c>
      <c r="N898" s="177">
        <v>950</v>
      </c>
      <c r="O898" s="177">
        <v>243</v>
      </c>
      <c r="P898" s="177">
        <v>255</v>
      </c>
      <c r="Q898" s="177">
        <v>268</v>
      </c>
      <c r="R898" s="129">
        <v>1716</v>
      </c>
      <c r="S898" s="177">
        <v>346</v>
      </c>
      <c r="T898" s="177">
        <v>1280</v>
      </c>
      <c r="U898" s="177">
        <v>310</v>
      </c>
      <c r="V898" s="177">
        <v>326</v>
      </c>
      <c r="W898" s="129">
        <v>2262</v>
      </c>
    </row>
    <row r="899" spans="1:23" s="119" customFormat="1" ht="12.75" x14ac:dyDescent="0.2">
      <c r="A899" s="278"/>
      <c r="B899" s="277" t="s">
        <v>454</v>
      </c>
      <c r="C899" s="180">
        <v>25</v>
      </c>
      <c r="D899" s="177">
        <v>70</v>
      </c>
      <c r="E899" s="177">
        <v>72.8</v>
      </c>
      <c r="F899" s="177">
        <v>146</v>
      </c>
      <c r="G899" s="177">
        <v>363</v>
      </c>
      <c r="H899" s="129">
        <v>651.79999999999995</v>
      </c>
      <c r="I899" s="177">
        <v>105</v>
      </c>
      <c r="J899" s="177">
        <v>156</v>
      </c>
      <c r="K899" s="177">
        <v>115</v>
      </c>
      <c r="L899" s="177">
        <v>121</v>
      </c>
      <c r="M899" s="129">
        <v>497</v>
      </c>
      <c r="N899" s="177">
        <v>466</v>
      </c>
      <c r="O899" s="177">
        <v>133</v>
      </c>
      <c r="P899" s="177">
        <v>199</v>
      </c>
      <c r="Q899" s="177">
        <v>147</v>
      </c>
      <c r="R899" s="129">
        <v>945</v>
      </c>
      <c r="S899" s="177">
        <v>154</v>
      </c>
      <c r="T899" s="177">
        <v>595</v>
      </c>
      <c r="U899" s="177">
        <v>170</v>
      </c>
      <c r="V899" s="177">
        <v>254</v>
      </c>
      <c r="W899" s="129">
        <v>1173</v>
      </c>
    </row>
    <row r="900" spans="1:23" s="119" customFormat="1" ht="12.75" x14ac:dyDescent="0.2">
      <c r="A900" s="278"/>
      <c r="B900" s="277" t="s">
        <v>692</v>
      </c>
      <c r="C900" s="180">
        <v>165</v>
      </c>
      <c r="D900" s="177">
        <v>150</v>
      </c>
      <c r="E900" s="177">
        <v>200</v>
      </c>
      <c r="F900" s="177">
        <v>375</v>
      </c>
      <c r="G900" s="177">
        <v>1746</v>
      </c>
      <c r="H900" s="129">
        <v>2471</v>
      </c>
      <c r="I900" s="177">
        <v>438</v>
      </c>
      <c r="J900" s="177">
        <v>553</v>
      </c>
      <c r="K900" s="177">
        <v>483</v>
      </c>
      <c r="L900" s="177">
        <v>507</v>
      </c>
      <c r="M900" s="129">
        <v>1981</v>
      </c>
      <c r="N900" s="177">
        <v>2228</v>
      </c>
      <c r="O900" s="177">
        <v>559</v>
      </c>
      <c r="P900" s="177">
        <v>587</v>
      </c>
      <c r="Q900" s="177">
        <v>617</v>
      </c>
      <c r="R900" s="129">
        <v>3991</v>
      </c>
      <c r="S900" s="177">
        <v>777</v>
      </c>
      <c r="T900" s="177">
        <v>2843</v>
      </c>
      <c r="U900" s="177">
        <v>714</v>
      </c>
      <c r="V900" s="177">
        <v>750</v>
      </c>
      <c r="W900" s="129">
        <v>5084</v>
      </c>
    </row>
    <row r="901" spans="1:23" s="119" customFormat="1" ht="12.75" x14ac:dyDescent="0.2">
      <c r="A901" s="278"/>
      <c r="B901" s="277" t="s">
        <v>440</v>
      </c>
      <c r="C901" s="180">
        <v>100</v>
      </c>
      <c r="D901" s="177">
        <v>120</v>
      </c>
      <c r="E901" s="177">
        <v>124.8</v>
      </c>
      <c r="F901" s="177">
        <v>176</v>
      </c>
      <c r="G901" s="177">
        <v>747</v>
      </c>
      <c r="H901" s="129">
        <v>1167.8</v>
      </c>
      <c r="I901" s="177">
        <v>237</v>
      </c>
      <c r="J901" s="177">
        <v>325</v>
      </c>
      <c r="K901" s="177">
        <v>292</v>
      </c>
      <c r="L901" s="177">
        <v>307</v>
      </c>
      <c r="M901" s="129">
        <v>1161</v>
      </c>
      <c r="N901" s="177">
        <v>1379</v>
      </c>
      <c r="O901" s="177">
        <v>338</v>
      </c>
      <c r="P901" s="177">
        <v>414</v>
      </c>
      <c r="Q901" s="177">
        <v>435</v>
      </c>
      <c r="R901" s="129">
        <v>2566</v>
      </c>
      <c r="S901" s="177">
        <v>350</v>
      </c>
      <c r="T901" s="177">
        <v>1649</v>
      </c>
      <c r="U901" s="177">
        <v>432</v>
      </c>
      <c r="V901" s="177">
        <v>453</v>
      </c>
      <c r="W901" s="129">
        <v>2884</v>
      </c>
    </row>
    <row r="902" spans="1:23" s="119" customFormat="1" ht="12.75" x14ac:dyDescent="0.2">
      <c r="A902" s="278"/>
      <c r="B902" s="277" t="s">
        <v>460</v>
      </c>
      <c r="C902" s="180">
        <v>50</v>
      </c>
      <c r="D902" s="177">
        <v>70</v>
      </c>
      <c r="E902" s="177">
        <v>73</v>
      </c>
      <c r="F902" s="177">
        <v>78</v>
      </c>
      <c r="G902" s="177">
        <v>363</v>
      </c>
      <c r="H902" s="129">
        <v>584</v>
      </c>
      <c r="I902" s="177">
        <v>102</v>
      </c>
      <c r="J902" s="177">
        <v>154</v>
      </c>
      <c r="K902" s="177">
        <v>113</v>
      </c>
      <c r="L902" s="177">
        <v>119</v>
      </c>
      <c r="M902" s="129">
        <v>488</v>
      </c>
      <c r="N902" s="177">
        <v>463</v>
      </c>
      <c r="O902" s="177">
        <v>131</v>
      </c>
      <c r="P902" s="177">
        <v>196</v>
      </c>
      <c r="Q902" s="177">
        <v>144</v>
      </c>
      <c r="R902" s="129">
        <v>934</v>
      </c>
      <c r="S902" s="177">
        <v>151</v>
      </c>
      <c r="T902" s="177">
        <v>591</v>
      </c>
      <c r="U902" s="177">
        <v>167</v>
      </c>
      <c r="V902" s="177">
        <v>251</v>
      </c>
      <c r="W902" s="129">
        <v>1160</v>
      </c>
    </row>
    <row r="903" spans="1:23" s="119" customFormat="1" ht="12.75" x14ac:dyDescent="0.2">
      <c r="A903" s="278"/>
      <c r="B903" s="277" t="s">
        <v>459</v>
      </c>
      <c r="C903" s="180">
        <v>50</v>
      </c>
      <c r="D903" s="177">
        <v>70</v>
      </c>
      <c r="E903" s="177">
        <v>125</v>
      </c>
      <c r="F903" s="177">
        <v>154</v>
      </c>
      <c r="G903" s="177">
        <v>735</v>
      </c>
      <c r="H903" s="129">
        <v>1084</v>
      </c>
      <c r="I903" s="177">
        <v>181</v>
      </c>
      <c r="J903" s="177">
        <v>358</v>
      </c>
      <c r="K903" s="177">
        <v>279</v>
      </c>
      <c r="L903" s="177">
        <v>293</v>
      </c>
      <c r="M903" s="129">
        <v>1111</v>
      </c>
      <c r="N903" s="177">
        <v>1026</v>
      </c>
      <c r="O903" s="177">
        <v>323</v>
      </c>
      <c r="P903" s="177">
        <v>339</v>
      </c>
      <c r="Q903" s="177">
        <v>356</v>
      </c>
      <c r="R903" s="129">
        <v>2044</v>
      </c>
      <c r="S903" s="177">
        <v>398</v>
      </c>
      <c r="T903" s="177">
        <v>1197</v>
      </c>
      <c r="U903" s="177">
        <v>412</v>
      </c>
      <c r="V903" s="177">
        <v>433</v>
      </c>
      <c r="W903" s="129">
        <v>2440</v>
      </c>
    </row>
    <row r="904" spans="1:23" s="119" customFormat="1" ht="12.75" x14ac:dyDescent="0.2">
      <c r="A904" s="278"/>
      <c r="B904" s="277" t="s">
        <v>461</v>
      </c>
      <c r="C904" s="180">
        <v>50</v>
      </c>
      <c r="D904" s="177">
        <v>70</v>
      </c>
      <c r="E904" s="177">
        <v>0</v>
      </c>
      <c r="F904" s="177">
        <v>83</v>
      </c>
      <c r="G904" s="177">
        <v>363</v>
      </c>
      <c r="H904" s="129">
        <v>516</v>
      </c>
      <c r="I904" s="177">
        <v>102</v>
      </c>
      <c r="J904" s="177">
        <v>154</v>
      </c>
      <c r="K904" s="177">
        <v>113</v>
      </c>
      <c r="L904" s="177">
        <v>119</v>
      </c>
      <c r="M904" s="129">
        <v>488</v>
      </c>
      <c r="N904" s="177">
        <v>463</v>
      </c>
      <c r="O904" s="177">
        <v>130</v>
      </c>
      <c r="P904" s="177">
        <v>196</v>
      </c>
      <c r="Q904" s="177">
        <v>144</v>
      </c>
      <c r="R904" s="129">
        <v>933</v>
      </c>
      <c r="S904" s="177">
        <v>151</v>
      </c>
      <c r="T904" s="177">
        <v>591</v>
      </c>
      <c r="U904" s="177">
        <v>167</v>
      </c>
      <c r="V904" s="177">
        <v>251</v>
      </c>
      <c r="W904" s="129">
        <v>1160</v>
      </c>
    </row>
    <row r="905" spans="1:23" s="119" customFormat="1" ht="12.75" x14ac:dyDescent="0.2">
      <c r="A905" s="278"/>
      <c r="B905" s="277" t="s">
        <v>462</v>
      </c>
      <c r="C905" s="180">
        <v>50</v>
      </c>
      <c r="D905" s="177">
        <v>70</v>
      </c>
      <c r="E905" s="177"/>
      <c r="F905" s="177">
        <v>144</v>
      </c>
      <c r="G905" s="177">
        <v>736</v>
      </c>
      <c r="H905" s="129">
        <v>950</v>
      </c>
      <c r="I905" s="177">
        <v>182</v>
      </c>
      <c r="J905" s="177">
        <v>191</v>
      </c>
      <c r="K905" s="177">
        <v>298</v>
      </c>
      <c r="L905" s="177">
        <v>210</v>
      </c>
      <c r="M905" s="129">
        <v>881</v>
      </c>
      <c r="N905" s="177">
        <v>939</v>
      </c>
      <c r="O905" s="177">
        <v>232</v>
      </c>
      <c r="P905" s="177">
        <v>244</v>
      </c>
      <c r="Q905" s="177">
        <v>380</v>
      </c>
      <c r="R905" s="129">
        <v>1795</v>
      </c>
      <c r="S905" s="177">
        <v>268</v>
      </c>
      <c r="T905" s="177">
        <v>1198</v>
      </c>
      <c r="U905" s="177">
        <v>296</v>
      </c>
      <c r="V905" s="177">
        <v>311</v>
      </c>
      <c r="W905" s="129">
        <v>2073</v>
      </c>
    </row>
    <row r="906" spans="1:23" s="136" customFormat="1" ht="12.75" x14ac:dyDescent="0.2">
      <c r="A906" s="279"/>
      <c r="B906" s="277" t="s">
        <v>436</v>
      </c>
      <c r="C906" s="180">
        <v>50</v>
      </c>
      <c r="D906" s="177">
        <v>70</v>
      </c>
      <c r="E906" s="177"/>
      <c r="F906" s="177">
        <v>152</v>
      </c>
      <c r="G906" s="177">
        <v>733</v>
      </c>
      <c r="H906" s="129">
        <v>955</v>
      </c>
      <c r="I906" s="177">
        <v>179</v>
      </c>
      <c r="J906" s="177">
        <v>188</v>
      </c>
      <c r="K906" s="177">
        <v>295</v>
      </c>
      <c r="L906" s="177">
        <v>207</v>
      </c>
      <c r="M906" s="129">
        <v>869</v>
      </c>
      <c r="N906" s="177">
        <v>936</v>
      </c>
      <c r="O906" s="177">
        <v>229</v>
      </c>
      <c r="P906" s="177">
        <v>240</v>
      </c>
      <c r="Q906" s="177">
        <v>376</v>
      </c>
      <c r="R906" s="129">
        <v>1781</v>
      </c>
      <c r="S906" s="177">
        <v>265</v>
      </c>
      <c r="T906" s="177">
        <v>1194</v>
      </c>
      <c r="U906" s="177">
        <v>292</v>
      </c>
      <c r="V906" s="177">
        <v>307</v>
      </c>
      <c r="W906" s="129">
        <v>2058</v>
      </c>
    </row>
    <row r="907" spans="1:23" s="119" customFormat="1" ht="12.75" x14ac:dyDescent="0.2">
      <c r="A907" s="278"/>
      <c r="B907" s="277" t="s">
        <v>463</v>
      </c>
      <c r="C907" s="180">
        <v>25</v>
      </c>
      <c r="D907" s="177">
        <v>70</v>
      </c>
      <c r="E907" s="177"/>
      <c r="F907" s="177">
        <v>83</v>
      </c>
      <c r="G907" s="177">
        <v>363</v>
      </c>
      <c r="H907" s="129">
        <v>516</v>
      </c>
      <c r="I907" s="177">
        <v>105</v>
      </c>
      <c r="J907" s="177">
        <v>156</v>
      </c>
      <c r="K907" s="177">
        <v>115</v>
      </c>
      <c r="L907" s="177">
        <v>121</v>
      </c>
      <c r="M907" s="129">
        <v>497</v>
      </c>
      <c r="N907" s="177">
        <v>466</v>
      </c>
      <c r="O907" s="177">
        <v>133</v>
      </c>
      <c r="P907" s="177">
        <v>199</v>
      </c>
      <c r="Q907" s="177">
        <v>147</v>
      </c>
      <c r="R907" s="129">
        <v>945</v>
      </c>
      <c r="S907" s="177">
        <v>154</v>
      </c>
      <c r="T907" s="177">
        <v>595</v>
      </c>
      <c r="U907" s="177">
        <v>170</v>
      </c>
      <c r="V907" s="177">
        <v>254</v>
      </c>
      <c r="W907" s="129">
        <v>1173</v>
      </c>
    </row>
    <row r="908" spans="1:23" s="119" customFormat="1" ht="12.75" x14ac:dyDescent="0.2">
      <c r="A908" s="278"/>
      <c r="B908" s="277" t="s">
        <v>438</v>
      </c>
      <c r="C908" s="180">
        <v>50</v>
      </c>
      <c r="D908" s="177">
        <v>120</v>
      </c>
      <c r="E908" s="177">
        <v>124.8</v>
      </c>
      <c r="F908" s="177">
        <v>156</v>
      </c>
      <c r="G908" s="177">
        <v>1079</v>
      </c>
      <c r="H908" s="129">
        <v>1479.8</v>
      </c>
      <c r="I908" s="177">
        <v>300</v>
      </c>
      <c r="J908" s="177">
        <v>322</v>
      </c>
      <c r="K908" s="177">
        <v>338</v>
      </c>
      <c r="L908" s="177">
        <v>304</v>
      </c>
      <c r="M908" s="129">
        <v>1264</v>
      </c>
      <c r="N908" s="177">
        <v>1377</v>
      </c>
      <c r="O908" s="177">
        <v>335</v>
      </c>
      <c r="P908" s="177">
        <v>352</v>
      </c>
      <c r="Q908" s="177">
        <v>432</v>
      </c>
      <c r="R908" s="129">
        <v>2496</v>
      </c>
      <c r="S908" s="177">
        <v>347</v>
      </c>
      <c r="T908" s="177">
        <v>1713</v>
      </c>
      <c r="U908" s="177">
        <v>428</v>
      </c>
      <c r="V908" s="177">
        <v>450</v>
      </c>
      <c r="W908" s="129">
        <v>2938</v>
      </c>
    </row>
    <row r="909" spans="1:23" s="119" customFormat="1" ht="12.75" x14ac:dyDescent="0.2">
      <c r="A909" s="278"/>
      <c r="B909" s="277" t="s">
        <v>694</v>
      </c>
      <c r="C909" s="180">
        <v>25</v>
      </c>
      <c r="D909" s="177">
        <v>70</v>
      </c>
      <c r="E909" s="177">
        <v>72.8</v>
      </c>
      <c r="F909" s="177">
        <v>150</v>
      </c>
      <c r="G909" s="177">
        <v>804</v>
      </c>
      <c r="H909" s="129">
        <v>1096.8</v>
      </c>
      <c r="I909" s="177">
        <v>253</v>
      </c>
      <c r="J909" s="177">
        <v>271</v>
      </c>
      <c r="K909" s="177">
        <v>381</v>
      </c>
      <c r="L909" s="177">
        <v>298</v>
      </c>
      <c r="M909" s="129">
        <v>1203</v>
      </c>
      <c r="N909" s="177">
        <v>1031</v>
      </c>
      <c r="O909" s="177">
        <v>329</v>
      </c>
      <c r="P909" s="177">
        <v>345</v>
      </c>
      <c r="Q909" s="177">
        <v>487</v>
      </c>
      <c r="R909" s="129">
        <v>2192</v>
      </c>
      <c r="S909" s="177">
        <v>274</v>
      </c>
      <c r="T909" s="177">
        <v>1204</v>
      </c>
      <c r="U909" s="177">
        <v>420</v>
      </c>
      <c r="V909" s="177">
        <v>441</v>
      </c>
      <c r="W909" s="129">
        <v>2339</v>
      </c>
    </row>
    <row r="910" spans="1:23" s="119" customFormat="1" ht="12.75" x14ac:dyDescent="0.2">
      <c r="A910" s="278"/>
      <c r="B910" s="277" t="s">
        <v>465</v>
      </c>
      <c r="C910" s="180">
        <v>50</v>
      </c>
      <c r="D910" s="177">
        <v>70</v>
      </c>
      <c r="E910" s="177">
        <v>72.8</v>
      </c>
      <c r="F910" s="177">
        <v>83</v>
      </c>
      <c r="G910" s="177">
        <v>365</v>
      </c>
      <c r="H910" s="129">
        <v>590.79999999999995</v>
      </c>
      <c r="I910" s="177">
        <v>105</v>
      </c>
      <c r="J910" s="177">
        <v>156</v>
      </c>
      <c r="K910" s="177">
        <v>115</v>
      </c>
      <c r="L910" s="177">
        <v>121</v>
      </c>
      <c r="M910" s="129">
        <v>497</v>
      </c>
      <c r="N910" s="177">
        <v>466</v>
      </c>
      <c r="O910" s="177">
        <v>133</v>
      </c>
      <c r="P910" s="177">
        <v>199</v>
      </c>
      <c r="Q910" s="177">
        <v>147</v>
      </c>
      <c r="R910" s="129">
        <v>945</v>
      </c>
      <c r="S910" s="177">
        <v>154</v>
      </c>
      <c r="T910" s="177">
        <v>595</v>
      </c>
      <c r="U910" s="177">
        <v>170</v>
      </c>
      <c r="V910" s="177">
        <v>254</v>
      </c>
      <c r="W910" s="129">
        <v>1173</v>
      </c>
    </row>
    <row r="911" spans="1:23" s="119" customFormat="1" ht="12.75" x14ac:dyDescent="0.2">
      <c r="A911" s="278"/>
      <c r="B911" s="277" t="s">
        <v>467</v>
      </c>
      <c r="C911" s="180">
        <v>90</v>
      </c>
      <c r="D911" s="177">
        <v>120</v>
      </c>
      <c r="E911" s="177">
        <v>124.8</v>
      </c>
      <c r="F911" s="177">
        <v>227</v>
      </c>
      <c r="G911" s="177">
        <v>1078</v>
      </c>
      <c r="H911" s="129">
        <v>1549.8</v>
      </c>
      <c r="I911" s="177">
        <v>306</v>
      </c>
      <c r="J911" s="177">
        <v>321</v>
      </c>
      <c r="K911" s="177">
        <v>337</v>
      </c>
      <c r="L911" s="177">
        <v>303</v>
      </c>
      <c r="M911" s="129">
        <v>1267</v>
      </c>
      <c r="N911" s="177">
        <v>1376</v>
      </c>
      <c r="O911" s="177">
        <v>334</v>
      </c>
      <c r="P911" s="177">
        <v>351</v>
      </c>
      <c r="Q911" s="177">
        <v>431</v>
      </c>
      <c r="R911" s="129">
        <v>2492</v>
      </c>
      <c r="S911" s="177">
        <v>452</v>
      </c>
      <c r="T911" s="177">
        <v>1823</v>
      </c>
      <c r="U911" s="177">
        <v>427</v>
      </c>
      <c r="V911" s="177">
        <v>448</v>
      </c>
      <c r="W911" s="129">
        <v>3150</v>
      </c>
    </row>
    <row r="912" spans="1:23" s="136" customFormat="1" ht="12.75" x14ac:dyDescent="0.2">
      <c r="A912" s="278"/>
      <c r="B912" s="277" t="s">
        <v>445</v>
      </c>
      <c r="C912" s="180">
        <v>90</v>
      </c>
      <c r="D912" s="177">
        <v>120</v>
      </c>
      <c r="E912" s="177">
        <v>124.8</v>
      </c>
      <c r="F912" s="177">
        <v>152</v>
      </c>
      <c r="G912" s="177">
        <v>736</v>
      </c>
      <c r="H912" s="129">
        <v>1132.8</v>
      </c>
      <c r="I912" s="177">
        <v>182</v>
      </c>
      <c r="J912" s="177">
        <v>191</v>
      </c>
      <c r="K912" s="177">
        <v>298</v>
      </c>
      <c r="L912" s="177">
        <v>210</v>
      </c>
      <c r="M912" s="129">
        <v>881</v>
      </c>
      <c r="N912" s="177">
        <v>939</v>
      </c>
      <c r="O912" s="177">
        <v>232</v>
      </c>
      <c r="P912" s="177">
        <v>244</v>
      </c>
      <c r="Q912" s="177">
        <v>380</v>
      </c>
      <c r="R912" s="129">
        <v>1795</v>
      </c>
      <c r="S912" s="177">
        <v>268</v>
      </c>
      <c r="T912" s="177">
        <v>1198</v>
      </c>
      <c r="U912" s="177">
        <v>296</v>
      </c>
      <c r="V912" s="177">
        <v>311</v>
      </c>
      <c r="W912" s="129">
        <v>2073</v>
      </c>
    </row>
    <row r="913" spans="1:23" s="173" customFormat="1" ht="12.75" x14ac:dyDescent="0.2">
      <c r="A913" s="278"/>
      <c r="B913" s="277" t="s">
        <v>469</v>
      </c>
      <c r="C913" s="180">
        <v>90</v>
      </c>
      <c r="D913" s="177">
        <v>70</v>
      </c>
      <c r="E913" s="177">
        <v>72.8</v>
      </c>
      <c r="F913" s="177">
        <v>156</v>
      </c>
      <c r="G913" s="177">
        <v>738</v>
      </c>
      <c r="H913" s="129">
        <v>1036.8</v>
      </c>
      <c r="I913" s="177">
        <v>184</v>
      </c>
      <c r="J913" s="177">
        <v>193</v>
      </c>
      <c r="K913" s="177">
        <v>300</v>
      </c>
      <c r="L913" s="177">
        <v>213</v>
      </c>
      <c r="M913" s="129">
        <v>890</v>
      </c>
      <c r="N913" s="177">
        <v>942</v>
      </c>
      <c r="O913" s="177">
        <v>235</v>
      </c>
      <c r="P913" s="177">
        <v>246</v>
      </c>
      <c r="Q913" s="177">
        <v>383</v>
      </c>
      <c r="R913" s="129">
        <v>1806</v>
      </c>
      <c r="S913" s="177">
        <v>272</v>
      </c>
      <c r="T913" s="177">
        <v>1201</v>
      </c>
      <c r="U913" s="177">
        <v>300</v>
      </c>
      <c r="V913" s="177">
        <v>315</v>
      </c>
      <c r="W913" s="129">
        <v>2088</v>
      </c>
    </row>
    <row r="914" spans="1:23" s="173" customFormat="1" ht="12.75" x14ac:dyDescent="0.2">
      <c r="A914" s="278"/>
      <c r="B914" s="277" t="s">
        <v>470</v>
      </c>
      <c r="C914" s="180">
        <v>25</v>
      </c>
      <c r="D914" s="177">
        <v>70</v>
      </c>
      <c r="E914" s="177">
        <v>72.8</v>
      </c>
      <c r="F914" s="177">
        <v>82</v>
      </c>
      <c r="G914" s="177">
        <v>365</v>
      </c>
      <c r="H914" s="129">
        <v>589.79999999999995</v>
      </c>
      <c r="I914" s="177">
        <v>105</v>
      </c>
      <c r="J914" s="177">
        <v>156</v>
      </c>
      <c r="K914" s="177">
        <v>115</v>
      </c>
      <c r="L914" s="177">
        <v>121</v>
      </c>
      <c r="M914" s="129">
        <v>497</v>
      </c>
      <c r="N914" s="177">
        <v>466</v>
      </c>
      <c r="O914" s="177">
        <v>133</v>
      </c>
      <c r="P914" s="177">
        <v>199</v>
      </c>
      <c r="Q914" s="177">
        <v>147</v>
      </c>
      <c r="R914" s="129">
        <v>945</v>
      </c>
      <c r="S914" s="177">
        <v>154</v>
      </c>
      <c r="T914" s="177">
        <v>595</v>
      </c>
      <c r="U914" s="177">
        <v>170</v>
      </c>
      <c r="V914" s="177">
        <v>254</v>
      </c>
      <c r="W914" s="129">
        <v>1173</v>
      </c>
    </row>
    <row r="915" spans="1:23" s="173" customFormat="1" ht="12.75" x14ac:dyDescent="0.2">
      <c r="A915" s="278"/>
      <c r="B915" s="277" t="s">
        <v>471</v>
      </c>
      <c r="C915" s="180">
        <v>50</v>
      </c>
      <c r="D915" s="177">
        <v>70</v>
      </c>
      <c r="E915" s="177">
        <v>72.8</v>
      </c>
      <c r="F915" s="177">
        <v>83</v>
      </c>
      <c r="G915" s="177">
        <v>365</v>
      </c>
      <c r="H915" s="129">
        <v>590.79999999999995</v>
      </c>
      <c r="I915" s="177">
        <v>105</v>
      </c>
      <c r="J915" s="177">
        <v>156</v>
      </c>
      <c r="K915" s="177">
        <v>115</v>
      </c>
      <c r="L915" s="177">
        <v>121</v>
      </c>
      <c r="M915" s="129">
        <v>497</v>
      </c>
      <c r="N915" s="177">
        <v>466</v>
      </c>
      <c r="O915" s="177">
        <v>133</v>
      </c>
      <c r="P915" s="177">
        <v>199</v>
      </c>
      <c r="Q915" s="177">
        <v>147</v>
      </c>
      <c r="R915" s="129">
        <v>945</v>
      </c>
      <c r="S915" s="177">
        <v>154</v>
      </c>
      <c r="T915" s="177">
        <v>595</v>
      </c>
      <c r="U915" s="177">
        <v>170</v>
      </c>
      <c r="V915" s="177">
        <v>254</v>
      </c>
      <c r="W915" s="129">
        <v>1173</v>
      </c>
    </row>
    <row r="916" spans="1:23" s="173" customFormat="1" ht="12.75" x14ac:dyDescent="0.2">
      <c r="A916" s="278"/>
      <c r="B916" s="277" t="s">
        <v>473</v>
      </c>
      <c r="C916" s="180">
        <v>100</v>
      </c>
      <c r="D916" s="177">
        <v>120</v>
      </c>
      <c r="E916" s="177">
        <v>124.8</v>
      </c>
      <c r="F916" s="177">
        <v>162</v>
      </c>
      <c r="G916" s="177">
        <v>736</v>
      </c>
      <c r="H916" s="129">
        <v>1142.8</v>
      </c>
      <c r="I916" s="177">
        <v>226</v>
      </c>
      <c r="J916" s="177">
        <v>191</v>
      </c>
      <c r="K916" s="177">
        <v>200</v>
      </c>
      <c r="L916" s="177">
        <v>261</v>
      </c>
      <c r="M916" s="129">
        <v>878</v>
      </c>
      <c r="N916" s="177">
        <v>939</v>
      </c>
      <c r="O916" s="177">
        <v>232</v>
      </c>
      <c r="P916" s="177">
        <v>244</v>
      </c>
      <c r="Q916" s="177">
        <v>318</v>
      </c>
      <c r="R916" s="129">
        <v>1733</v>
      </c>
      <c r="S916" s="177">
        <v>268</v>
      </c>
      <c r="T916" s="177">
        <v>1266</v>
      </c>
      <c r="U916" s="177">
        <v>296</v>
      </c>
      <c r="V916" s="177">
        <v>311</v>
      </c>
      <c r="W916" s="129">
        <v>2141</v>
      </c>
    </row>
    <row r="917" spans="1:23" s="173" customFormat="1" ht="12.75" x14ac:dyDescent="0.2">
      <c r="A917" s="278"/>
      <c r="B917" s="277" t="s">
        <v>1029</v>
      </c>
      <c r="C917" s="180"/>
      <c r="D917" s="177">
        <v>45</v>
      </c>
      <c r="E917" s="177">
        <v>46.8</v>
      </c>
      <c r="F917" s="177">
        <v>83</v>
      </c>
      <c r="G917" s="177">
        <v>365</v>
      </c>
      <c r="H917" s="129">
        <v>539.79999999999995</v>
      </c>
      <c r="I917" s="177">
        <v>105</v>
      </c>
      <c r="J917" s="177">
        <v>156</v>
      </c>
      <c r="K917" s="177">
        <v>115</v>
      </c>
      <c r="L917" s="177">
        <v>121</v>
      </c>
      <c r="M917" s="129">
        <v>497</v>
      </c>
      <c r="N917" s="177">
        <v>466</v>
      </c>
      <c r="O917" s="177">
        <v>133</v>
      </c>
      <c r="P917" s="177">
        <v>199</v>
      </c>
      <c r="Q917" s="177">
        <v>147</v>
      </c>
      <c r="R917" s="129">
        <v>945</v>
      </c>
      <c r="S917" s="177">
        <v>154</v>
      </c>
      <c r="T917" s="177">
        <v>595</v>
      </c>
      <c r="U917" s="177">
        <v>170</v>
      </c>
      <c r="V917" s="177">
        <v>254</v>
      </c>
      <c r="W917" s="129">
        <v>1173</v>
      </c>
    </row>
    <row r="918" spans="1:23" s="173" customFormat="1" ht="12.75" x14ac:dyDescent="0.2">
      <c r="A918" s="278"/>
      <c r="B918" s="277" t="s">
        <v>1030</v>
      </c>
      <c r="C918" s="180"/>
      <c r="D918" s="177"/>
      <c r="E918" s="177">
        <v>73</v>
      </c>
      <c r="F918" s="177">
        <v>75.92</v>
      </c>
      <c r="G918" s="177">
        <v>78.956800000000001</v>
      </c>
      <c r="H918" s="129">
        <v>227.8768</v>
      </c>
      <c r="I918" s="177">
        <v>82.115071999999998</v>
      </c>
      <c r="J918" s="177">
        <v>85.399674879999992</v>
      </c>
      <c r="K918" s="177">
        <v>88.815661875199993</v>
      </c>
      <c r="L918" s="177">
        <v>92.36828835020799</v>
      </c>
      <c r="M918" s="129">
        <v>348.69869710540797</v>
      </c>
      <c r="N918" s="177">
        <v>96.063019884216317</v>
      </c>
      <c r="O918" s="177">
        <v>99.905540679584973</v>
      </c>
      <c r="P918" s="177">
        <v>103.90176230676838</v>
      </c>
      <c r="Q918" s="177">
        <v>108.0578327990391</v>
      </c>
      <c r="R918" s="129">
        <v>407.92815566960877</v>
      </c>
      <c r="S918" s="177"/>
      <c r="T918" s="177"/>
      <c r="U918" s="177"/>
      <c r="V918" s="177"/>
      <c r="W918" s="129">
        <v>0</v>
      </c>
    </row>
    <row r="919" spans="1:23" s="173" customFormat="1" ht="12.75" x14ac:dyDescent="0.2">
      <c r="A919" s="278"/>
      <c r="B919" s="277" t="s">
        <v>446</v>
      </c>
      <c r="C919" s="180">
        <v>100</v>
      </c>
      <c r="D919" s="177">
        <v>120</v>
      </c>
      <c r="E919" s="177">
        <v>124.8</v>
      </c>
      <c r="F919" s="177">
        <v>167</v>
      </c>
      <c r="G919" s="177">
        <v>1079</v>
      </c>
      <c r="H919" s="129">
        <v>1490.8</v>
      </c>
      <c r="I919" s="177">
        <v>307</v>
      </c>
      <c r="J919" s="177">
        <v>323</v>
      </c>
      <c r="K919" s="177">
        <v>339</v>
      </c>
      <c r="L919" s="177">
        <v>305</v>
      </c>
      <c r="M919" s="129">
        <v>1274</v>
      </c>
      <c r="N919" s="177">
        <v>1377</v>
      </c>
      <c r="O919" s="177">
        <v>336</v>
      </c>
      <c r="P919" s="177">
        <v>353</v>
      </c>
      <c r="Q919" s="177">
        <v>433</v>
      </c>
      <c r="R919" s="129">
        <v>2499</v>
      </c>
      <c r="S919" s="177">
        <v>454</v>
      </c>
      <c r="T919" s="177">
        <v>1826</v>
      </c>
      <c r="U919" s="177">
        <v>429</v>
      </c>
      <c r="V919" s="177">
        <v>450</v>
      </c>
      <c r="W919" s="129">
        <v>3159</v>
      </c>
    </row>
    <row r="920" spans="1:23" s="173" customFormat="1" ht="12.75" x14ac:dyDescent="0.2">
      <c r="A920" s="278"/>
      <c r="B920" s="277" t="s">
        <v>699</v>
      </c>
      <c r="C920" s="180"/>
      <c r="D920" s="177"/>
      <c r="E920" s="177">
        <v>73</v>
      </c>
      <c r="F920" s="177">
        <v>75.92</v>
      </c>
      <c r="G920" s="177">
        <v>78.956800000000001</v>
      </c>
      <c r="H920" s="129">
        <v>227.8768</v>
      </c>
      <c r="I920" s="177">
        <v>82.115071999999998</v>
      </c>
      <c r="J920" s="177">
        <v>85.399674879999992</v>
      </c>
      <c r="K920" s="177">
        <v>88.815661875199993</v>
      </c>
      <c r="L920" s="177">
        <v>92.36828835020799</v>
      </c>
      <c r="M920" s="129">
        <v>348.69869710540797</v>
      </c>
      <c r="N920" s="177">
        <v>96.063019884216317</v>
      </c>
      <c r="O920" s="177">
        <v>99.905540679584973</v>
      </c>
      <c r="P920" s="177">
        <v>103.90176230676838</v>
      </c>
      <c r="Q920" s="177">
        <v>108.0578327990391</v>
      </c>
      <c r="R920" s="129">
        <v>407.92815566960877</v>
      </c>
      <c r="S920" s="177"/>
      <c r="T920" s="177"/>
      <c r="U920" s="177"/>
      <c r="V920" s="177"/>
      <c r="W920" s="129">
        <v>0</v>
      </c>
    </row>
    <row r="921" spans="1:23" s="173" customFormat="1" ht="12.75" x14ac:dyDescent="0.2">
      <c r="A921" s="278"/>
      <c r="B921" s="277" t="s">
        <v>476</v>
      </c>
      <c r="C921" s="180">
        <v>50</v>
      </c>
      <c r="D921" s="177">
        <v>70</v>
      </c>
      <c r="E921" s="177">
        <v>72.8</v>
      </c>
      <c r="F921" s="177">
        <v>154</v>
      </c>
      <c r="G921" s="177">
        <v>507</v>
      </c>
      <c r="H921" s="129">
        <v>803.8</v>
      </c>
      <c r="I921" s="177">
        <v>253</v>
      </c>
      <c r="J921" s="177">
        <v>312</v>
      </c>
      <c r="K921" s="177">
        <v>279</v>
      </c>
      <c r="L921" s="177">
        <v>293</v>
      </c>
      <c r="M921" s="129">
        <v>1137</v>
      </c>
      <c r="N921" s="177">
        <v>647</v>
      </c>
      <c r="O921" s="177">
        <v>323</v>
      </c>
      <c r="P921" s="177">
        <v>398</v>
      </c>
      <c r="Q921" s="177">
        <v>356</v>
      </c>
      <c r="R921" s="129">
        <v>1724</v>
      </c>
      <c r="S921" s="177">
        <v>268</v>
      </c>
      <c r="T921" s="177">
        <v>713</v>
      </c>
      <c r="U921" s="177">
        <v>412</v>
      </c>
      <c r="V921" s="177">
        <v>509</v>
      </c>
      <c r="W921" s="129">
        <v>1902</v>
      </c>
    </row>
    <row r="922" spans="1:23" s="173" customFormat="1" ht="12.75" x14ac:dyDescent="0.2">
      <c r="A922" s="278"/>
      <c r="B922" s="277" t="s">
        <v>477</v>
      </c>
      <c r="C922" s="180">
        <v>50</v>
      </c>
      <c r="D922" s="177">
        <v>70</v>
      </c>
      <c r="E922" s="177">
        <v>72.8</v>
      </c>
      <c r="F922" s="177">
        <v>83</v>
      </c>
      <c r="G922" s="177">
        <v>363</v>
      </c>
      <c r="H922" s="129">
        <v>588.79999999999995</v>
      </c>
      <c r="I922" s="177">
        <v>105</v>
      </c>
      <c r="J922" s="177">
        <v>156</v>
      </c>
      <c r="K922" s="177">
        <v>115</v>
      </c>
      <c r="L922" s="177">
        <v>121</v>
      </c>
      <c r="M922" s="129">
        <v>497</v>
      </c>
      <c r="N922" s="177">
        <v>466</v>
      </c>
      <c r="O922" s="177">
        <v>133</v>
      </c>
      <c r="P922" s="177">
        <v>199</v>
      </c>
      <c r="Q922" s="177">
        <v>147</v>
      </c>
      <c r="R922" s="129">
        <v>945</v>
      </c>
      <c r="S922" s="177">
        <v>154</v>
      </c>
      <c r="T922" s="177">
        <v>595</v>
      </c>
      <c r="U922" s="177">
        <v>170</v>
      </c>
      <c r="V922" s="177">
        <v>254</v>
      </c>
      <c r="W922" s="129">
        <v>1173</v>
      </c>
    </row>
    <row r="923" spans="1:23" s="173" customFormat="1" ht="12.75" x14ac:dyDescent="0.2">
      <c r="A923" s="278"/>
      <c r="B923" s="277" t="s">
        <v>478</v>
      </c>
      <c r="C923" s="180">
        <v>25</v>
      </c>
      <c r="D923" s="177">
        <v>70</v>
      </c>
      <c r="E923" s="177">
        <v>72.8</v>
      </c>
      <c r="F923" s="177">
        <v>83</v>
      </c>
      <c r="G923" s="177">
        <v>363</v>
      </c>
      <c r="H923" s="129">
        <v>588.79999999999995</v>
      </c>
      <c r="I923" s="177">
        <v>105</v>
      </c>
      <c r="J923" s="177">
        <v>156</v>
      </c>
      <c r="K923" s="177">
        <v>115</v>
      </c>
      <c r="L923" s="177">
        <v>121</v>
      </c>
      <c r="M923" s="129">
        <v>497</v>
      </c>
      <c r="N923" s="177">
        <v>466</v>
      </c>
      <c r="O923" s="177">
        <v>133</v>
      </c>
      <c r="P923" s="177">
        <v>199</v>
      </c>
      <c r="Q923" s="177">
        <v>147</v>
      </c>
      <c r="R923" s="129">
        <v>945</v>
      </c>
      <c r="S923" s="177">
        <v>154</v>
      </c>
      <c r="T923" s="177">
        <v>594</v>
      </c>
      <c r="U923" s="177">
        <v>170</v>
      </c>
      <c r="V923" s="177">
        <v>254</v>
      </c>
      <c r="W923" s="129">
        <v>1172</v>
      </c>
    </row>
    <row r="924" spans="1:23" s="173" customFormat="1" ht="12.75" x14ac:dyDescent="0.2">
      <c r="A924" s="278"/>
      <c r="B924" s="277" t="s">
        <v>479</v>
      </c>
      <c r="C924" s="180">
        <v>100</v>
      </c>
      <c r="D924" s="177">
        <v>120</v>
      </c>
      <c r="E924" s="177">
        <v>124.8</v>
      </c>
      <c r="F924" s="177">
        <v>154</v>
      </c>
      <c r="G924" s="177">
        <v>736</v>
      </c>
      <c r="H924" s="129">
        <v>1134.8</v>
      </c>
      <c r="I924" s="177">
        <v>226</v>
      </c>
      <c r="J924" s="177">
        <v>191</v>
      </c>
      <c r="K924" s="177">
        <v>200</v>
      </c>
      <c r="L924" s="177">
        <v>261</v>
      </c>
      <c r="M924" s="129">
        <v>878</v>
      </c>
      <c r="N924" s="177">
        <v>939</v>
      </c>
      <c r="O924" s="177">
        <v>232</v>
      </c>
      <c r="P924" s="177">
        <v>244</v>
      </c>
      <c r="Q924" s="177">
        <v>318</v>
      </c>
      <c r="R924" s="129">
        <v>1733</v>
      </c>
      <c r="S924" s="177">
        <v>268</v>
      </c>
      <c r="T924" s="177">
        <v>1266</v>
      </c>
      <c r="U924" s="177">
        <v>296</v>
      </c>
      <c r="V924" s="177">
        <v>311</v>
      </c>
      <c r="W924" s="129">
        <v>2141</v>
      </c>
    </row>
    <row r="925" spans="1:23" s="173" customFormat="1" ht="12.75" x14ac:dyDescent="0.2">
      <c r="A925" s="278"/>
      <c r="B925" s="277" t="s">
        <v>481</v>
      </c>
      <c r="C925" s="180">
        <v>100</v>
      </c>
      <c r="D925" s="177">
        <v>120</v>
      </c>
      <c r="E925" s="177">
        <v>124.8</v>
      </c>
      <c r="F925" s="177">
        <v>156</v>
      </c>
      <c r="G925" s="177">
        <v>1087</v>
      </c>
      <c r="H925" s="129">
        <v>1487.8</v>
      </c>
      <c r="I925" s="177">
        <v>316</v>
      </c>
      <c r="J925" s="177">
        <v>332</v>
      </c>
      <c r="K925" s="177">
        <v>348</v>
      </c>
      <c r="L925" s="177">
        <v>314</v>
      </c>
      <c r="M925" s="129">
        <v>1310</v>
      </c>
      <c r="N925" s="177">
        <v>1387</v>
      </c>
      <c r="O925" s="177">
        <v>347</v>
      </c>
      <c r="P925" s="177">
        <v>364</v>
      </c>
      <c r="Q925" s="177">
        <v>444</v>
      </c>
      <c r="R925" s="129">
        <v>2542</v>
      </c>
      <c r="S925" s="177">
        <v>360</v>
      </c>
      <c r="T925" s="177">
        <v>1727</v>
      </c>
      <c r="U925" s="177">
        <v>442</v>
      </c>
      <c r="V925" s="177">
        <v>465</v>
      </c>
      <c r="W925" s="129">
        <v>2994</v>
      </c>
    </row>
    <row r="926" spans="1:23" s="173" customFormat="1" ht="12.75" x14ac:dyDescent="0.2">
      <c r="A926" s="278"/>
      <c r="B926" s="277" t="s">
        <v>442</v>
      </c>
      <c r="C926" s="180">
        <v>100</v>
      </c>
      <c r="D926" s="177">
        <v>120</v>
      </c>
      <c r="E926" s="177">
        <v>124.8</v>
      </c>
      <c r="F926" s="177">
        <v>220</v>
      </c>
      <c r="G926" s="177">
        <v>1079</v>
      </c>
      <c r="H926" s="129">
        <v>1543.8</v>
      </c>
      <c r="I926" s="177">
        <v>307</v>
      </c>
      <c r="J926" s="177">
        <v>323</v>
      </c>
      <c r="K926" s="177">
        <v>339</v>
      </c>
      <c r="L926" s="177">
        <v>305</v>
      </c>
      <c r="M926" s="129">
        <v>1274</v>
      </c>
      <c r="N926" s="177">
        <v>1377</v>
      </c>
      <c r="O926" s="177">
        <v>336</v>
      </c>
      <c r="P926" s="177">
        <v>353</v>
      </c>
      <c r="Q926" s="177">
        <v>433</v>
      </c>
      <c r="R926" s="129">
        <v>2499</v>
      </c>
      <c r="S926" s="177">
        <v>454</v>
      </c>
      <c r="T926" s="177">
        <v>1826</v>
      </c>
      <c r="U926" s="177">
        <v>429</v>
      </c>
      <c r="V926" s="177">
        <v>450</v>
      </c>
      <c r="W926" s="129">
        <v>3159</v>
      </c>
    </row>
    <row r="927" spans="1:23" s="173" customFormat="1" ht="12.75" x14ac:dyDescent="0.2">
      <c r="A927" s="278"/>
      <c r="B927" s="277" t="s">
        <v>435</v>
      </c>
      <c r="C927" s="180"/>
      <c r="D927" s="177">
        <v>120</v>
      </c>
      <c r="E927" s="177">
        <v>239</v>
      </c>
      <c r="F927" s="177">
        <v>243</v>
      </c>
      <c r="G927" s="177">
        <v>1090</v>
      </c>
      <c r="H927" s="129">
        <v>1692</v>
      </c>
      <c r="I927" s="177">
        <v>318</v>
      </c>
      <c r="J927" s="177">
        <v>334</v>
      </c>
      <c r="K927" s="177">
        <v>351</v>
      </c>
      <c r="L927" s="177">
        <v>318</v>
      </c>
      <c r="M927" s="129">
        <v>1321</v>
      </c>
      <c r="N927" s="177">
        <v>1391</v>
      </c>
      <c r="O927" s="177">
        <v>350</v>
      </c>
      <c r="P927" s="177">
        <v>368</v>
      </c>
      <c r="Q927" s="177">
        <v>448</v>
      </c>
      <c r="R927" s="129">
        <v>2557</v>
      </c>
      <c r="S927" s="177">
        <v>470</v>
      </c>
      <c r="T927" s="177">
        <v>1843</v>
      </c>
      <c r="U927" s="177">
        <v>447</v>
      </c>
      <c r="V927" s="177">
        <v>469</v>
      </c>
      <c r="W927" s="129">
        <v>3229</v>
      </c>
    </row>
    <row r="928" spans="1:23" s="173" customFormat="1" ht="12.75" x14ac:dyDescent="0.2">
      <c r="A928" s="278"/>
      <c r="B928" s="277" t="s">
        <v>1031</v>
      </c>
      <c r="C928" s="180"/>
      <c r="D928" s="177">
        <v>70</v>
      </c>
      <c r="E928" s="177">
        <v>130</v>
      </c>
      <c r="F928" s="177">
        <v>84</v>
      </c>
      <c r="G928" s="177">
        <v>365</v>
      </c>
      <c r="H928" s="129">
        <v>649</v>
      </c>
      <c r="I928" s="177">
        <v>105</v>
      </c>
      <c r="J928" s="177">
        <v>156</v>
      </c>
      <c r="K928" s="177">
        <v>115</v>
      </c>
      <c r="L928" s="177">
        <v>121</v>
      </c>
      <c r="M928" s="129">
        <v>497</v>
      </c>
      <c r="N928" s="177">
        <v>466</v>
      </c>
      <c r="O928" s="177">
        <v>133</v>
      </c>
      <c r="P928" s="177">
        <v>199</v>
      </c>
      <c r="Q928" s="177">
        <v>147</v>
      </c>
      <c r="R928" s="129">
        <v>945</v>
      </c>
      <c r="S928" s="177">
        <v>154</v>
      </c>
      <c r="T928" s="177">
        <v>595</v>
      </c>
      <c r="U928" s="177">
        <v>170</v>
      </c>
      <c r="V928" s="177">
        <v>254</v>
      </c>
      <c r="W928" s="129">
        <v>1173</v>
      </c>
    </row>
    <row r="929" spans="1:24" s="173" customFormat="1" ht="12.75" x14ac:dyDescent="0.2">
      <c r="A929" s="278"/>
      <c r="B929" s="195"/>
      <c r="C929" s="177"/>
      <c r="D929" s="177"/>
      <c r="E929" s="177"/>
      <c r="F929" s="177"/>
      <c r="G929" s="177"/>
      <c r="H929" s="129">
        <f t="shared" ref="H929:H968" si="47">SUM(D929:G929)</f>
        <v>0</v>
      </c>
      <c r="I929" s="177"/>
      <c r="J929" s="177"/>
      <c r="K929" s="177"/>
      <c r="L929" s="177"/>
      <c r="M929" s="129"/>
      <c r="N929" s="177"/>
      <c r="O929" s="177"/>
      <c r="P929" s="177"/>
      <c r="Q929" s="177"/>
      <c r="R929" s="129"/>
      <c r="S929" s="177"/>
      <c r="T929" s="177"/>
      <c r="U929" s="177"/>
      <c r="V929" s="177"/>
      <c r="W929" s="129"/>
    </row>
    <row r="930" spans="1:24" s="187" customFormat="1" ht="25.5" x14ac:dyDescent="0.2">
      <c r="A930" s="303" t="s">
        <v>1034</v>
      </c>
      <c r="B930" s="304"/>
      <c r="C930" s="301"/>
      <c r="D930" s="301">
        <f>SUM(D931:D968)</f>
        <v>4935</v>
      </c>
      <c r="E930" s="301">
        <f>SUM(E931:E968)</f>
        <v>2208</v>
      </c>
      <c r="F930" s="301">
        <f>SUM(F931:F968)</f>
        <v>2904</v>
      </c>
      <c r="G930" s="301">
        <f>SUM(G931:G968)</f>
        <v>2991.1199999999994</v>
      </c>
      <c r="H930" s="304">
        <f>SUM(D930:G930)</f>
        <v>13038.119999999999</v>
      </c>
      <c r="I930" s="301">
        <f>SUM(I931:I968)</f>
        <v>3080.8536000000004</v>
      </c>
      <c r="J930" s="301">
        <f>SUM(J931:J968)</f>
        <v>3173.2792079999999</v>
      </c>
      <c r="K930" s="301">
        <f>SUM(K931:K968)</f>
        <v>3268.4775842399999</v>
      </c>
      <c r="L930" s="301">
        <f>SUM(L931:L968)</f>
        <v>3366.5319117672016</v>
      </c>
      <c r="M930" s="304">
        <f>SUM(I930:L930)</f>
        <v>12889.1423040072</v>
      </c>
      <c r="N930" s="301">
        <f>SUM(N931:N968)</f>
        <v>3467.5278691202166</v>
      </c>
      <c r="O930" s="301">
        <f>SUM(O931:O968)</f>
        <v>3571.5537051938222</v>
      </c>
      <c r="P930" s="301">
        <f>SUM(P931:P968)</f>
        <v>3678.7003163496379</v>
      </c>
      <c r="Q930" s="301">
        <f>SUM(Q931:Q968)</f>
        <v>3789.0613258401268</v>
      </c>
      <c r="R930" s="304">
        <f>SUM(N930:Q930)</f>
        <v>14506.843216503803</v>
      </c>
      <c r="S930" s="301">
        <f>SUM(S931:S968)</f>
        <v>3902.7331656153324</v>
      </c>
      <c r="T930" s="301">
        <f>SUM(T931:T968)</f>
        <v>4019.8151605837911</v>
      </c>
      <c r="U930" s="301">
        <f>SUM(U931:U968)</f>
        <v>4140.4096154013059</v>
      </c>
      <c r="V930" s="301">
        <f>SUM(V931:V968)</f>
        <v>4264.6219038633444</v>
      </c>
      <c r="W930" s="304">
        <f>SUM(S930:V930)</f>
        <v>16327.579845463773</v>
      </c>
      <c r="X930" s="186">
        <v>43008</v>
      </c>
    </row>
    <row r="931" spans="1:24" s="173" customFormat="1" ht="12.75" x14ac:dyDescent="0.2">
      <c r="A931" s="278"/>
      <c r="B931" s="277" t="s">
        <v>717</v>
      </c>
      <c r="C931" s="180"/>
      <c r="D931" s="177">
        <v>3090</v>
      </c>
      <c r="E931" s="177">
        <v>990</v>
      </c>
      <c r="F931" s="177">
        <v>1026</v>
      </c>
      <c r="G931" s="177">
        <f>F931*103%</f>
        <v>1056.78</v>
      </c>
      <c r="H931" s="129">
        <f t="shared" si="47"/>
        <v>6162.78</v>
      </c>
      <c r="I931" s="177">
        <f>G931*103%</f>
        <v>1088.4834000000001</v>
      </c>
      <c r="J931" s="177">
        <f>I931*103%</f>
        <v>1121.1379020000002</v>
      </c>
      <c r="K931" s="177">
        <f>J931*103%</f>
        <v>1154.7720390600002</v>
      </c>
      <c r="L931" s="177">
        <f>K931*103%</f>
        <v>1189.4152002318003</v>
      </c>
      <c r="M931" s="129">
        <v>4845.3775999999998</v>
      </c>
      <c r="N931" s="177">
        <f>L931*103%</f>
        <v>1225.0976562387543</v>
      </c>
      <c r="O931" s="177">
        <f>N931*103%</f>
        <v>1261.8505859259169</v>
      </c>
      <c r="P931" s="177">
        <f>O931*103%</f>
        <v>1299.7061035036945</v>
      </c>
      <c r="Q931" s="177">
        <f>P931*103%</f>
        <v>1338.6972866088054</v>
      </c>
      <c r="R931" s="129">
        <v>5936</v>
      </c>
      <c r="S931" s="177">
        <f>Q931*103%</f>
        <v>1378.8582052070697</v>
      </c>
      <c r="T931" s="177">
        <f t="shared" ref="T931:V946" si="48">S931*103%</f>
        <v>1420.2239513632817</v>
      </c>
      <c r="U931" s="177">
        <f t="shared" si="48"/>
        <v>1462.8306699041802</v>
      </c>
      <c r="V931" s="177">
        <f t="shared" si="48"/>
        <v>1506.7155900013056</v>
      </c>
      <c r="W931" s="129">
        <f t="shared" ref="W931:W968" si="49">SUM(S931:V931)</f>
        <v>5768.6284164758372</v>
      </c>
    </row>
    <row r="932" spans="1:24" s="173" customFormat="1" ht="12.75" x14ac:dyDescent="0.2">
      <c r="A932" s="278"/>
      <c r="B932" s="277" t="s">
        <v>440</v>
      </c>
      <c r="C932" s="180"/>
      <c r="D932" s="177">
        <v>90</v>
      </c>
      <c r="E932" s="177">
        <v>93</v>
      </c>
      <c r="F932" s="177">
        <v>95</v>
      </c>
      <c r="G932" s="177">
        <f t="shared" ref="G932:G968" si="50">F932*103%</f>
        <v>97.850000000000009</v>
      </c>
      <c r="H932" s="129">
        <f t="shared" si="47"/>
        <v>375.85</v>
      </c>
      <c r="I932" s="177">
        <f t="shared" ref="I932:I968" si="51">G932*103%</f>
        <v>100.78550000000001</v>
      </c>
      <c r="J932" s="177">
        <f t="shared" ref="J932:L947" si="52">I932*103%</f>
        <v>103.80906500000002</v>
      </c>
      <c r="K932" s="177">
        <f t="shared" si="52"/>
        <v>106.92333695000002</v>
      </c>
      <c r="L932" s="177">
        <f t="shared" si="52"/>
        <v>110.13103705850003</v>
      </c>
      <c r="M932" s="129">
        <v>458</v>
      </c>
      <c r="N932" s="177">
        <f t="shared" ref="N932:N968" si="53">L932*103%</f>
        <v>113.43496817025503</v>
      </c>
      <c r="O932" s="177">
        <f t="shared" ref="O932:Q947" si="54">N932*103%</f>
        <v>116.83801721536268</v>
      </c>
      <c r="P932" s="177">
        <f t="shared" si="54"/>
        <v>120.34315773182357</v>
      </c>
      <c r="Q932" s="177">
        <f t="shared" si="54"/>
        <v>123.95345246377828</v>
      </c>
      <c r="R932" s="129">
        <v>526</v>
      </c>
      <c r="S932" s="177">
        <f t="shared" ref="S932:S968" si="55">Q932*103%</f>
        <v>127.67205603769163</v>
      </c>
      <c r="T932" s="177">
        <f t="shared" si="48"/>
        <v>131.50221771882238</v>
      </c>
      <c r="U932" s="177">
        <f t="shared" si="48"/>
        <v>135.44728425038704</v>
      </c>
      <c r="V932" s="177">
        <f t="shared" si="48"/>
        <v>139.51070277789864</v>
      </c>
      <c r="W932" s="129">
        <f t="shared" si="49"/>
        <v>534.13226078479966</v>
      </c>
    </row>
    <row r="933" spans="1:24" s="173" customFormat="1" ht="12.75" x14ac:dyDescent="0.2">
      <c r="A933" s="278"/>
      <c r="B933" s="277" t="s">
        <v>444</v>
      </c>
      <c r="C933" s="180"/>
      <c r="D933" s="177">
        <v>90</v>
      </c>
      <c r="E933" s="177">
        <v>93</v>
      </c>
      <c r="F933" s="177">
        <v>95</v>
      </c>
      <c r="G933" s="177">
        <f t="shared" si="50"/>
        <v>97.850000000000009</v>
      </c>
      <c r="H933" s="129">
        <f t="shared" si="47"/>
        <v>375.85</v>
      </c>
      <c r="I933" s="177">
        <f t="shared" si="51"/>
        <v>100.78550000000001</v>
      </c>
      <c r="J933" s="177">
        <f t="shared" si="52"/>
        <v>103.80906500000002</v>
      </c>
      <c r="K933" s="177">
        <f t="shared" si="52"/>
        <v>106.92333695000002</v>
      </c>
      <c r="L933" s="177">
        <f t="shared" si="52"/>
        <v>110.13103705850003</v>
      </c>
      <c r="M933" s="129">
        <v>458</v>
      </c>
      <c r="N933" s="177">
        <f t="shared" si="53"/>
        <v>113.43496817025503</v>
      </c>
      <c r="O933" s="177">
        <f t="shared" si="54"/>
        <v>116.83801721536268</v>
      </c>
      <c r="P933" s="177">
        <f t="shared" si="54"/>
        <v>120.34315773182357</v>
      </c>
      <c r="Q933" s="177">
        <f t="shared" si="54"/>
        <v>123.95345246377828</v>
      </c>
      <c r="R933" s="129">
        <v>526</v>
      </c>
      <c r="S933" s="177">
        <f t="shared" si="55"/>
        <v>127.67205603769163</v>
      </c>
      <c r="T933" s="177">
        <f t="shared" si="48"/>
        <v>131.50221771882238</v>
      </c>
      <c r="U933" s="177">
        <f t="shared" si="48"/>
        <v>135.44728425038704</v>
      </c>
      <c r="V933" s="177">
        <f t="shared" si="48"/>
        <v>139.51070277789864</v>
      </c>
      <c r="W933" s="129">
        <f t="shared" si="49"/>
        <v>534.13226078479966</v>
      </c>
    </row>
    <row r="934" spans="1:24" s="173" customFormat="1" ht="12.75" x14ac:dyDescent="0.2">
      <c r="A934" s="278"/>
      <c r="B934" s="277" t="s">
        <v>446</v>
      </c>
      <c r="C934" s="180"/>
      <c r="D934" s="177">
        <v>90</v>
      </c>
      <c r="E934" s="177">
        <v>93</v>
      </c>
      <c r="F934" s="177">
        <v>95</v>
      </c>
      <c r="G934" s="177">
        <f t="shared" si="50"/>
        <v>97.850000000000009</v>
      </c>
      <c r="H934" s="129">
        <f t="shared" si="47"/>
        <v>375.85</v>
      </c>
      <c r="I934" s="177">
        <f t="shared" si="51"/>
        <v>100.78550000000001</v>
      </c>
      <c r="J934" s="177">
        <f t="shared" si="52"/>
        <v>103.80906500000002</v>
      </c>
      <c r="K934" s="177">
        <f t="shared" si="52"/>
        <v>106.92333695000002</v>
      </c>
      <c r="L934" s="177">
        <f t="shared" si="52"/>
        <v>110.13103705850003</v>
      </c>
      <c r="M934" s="129">
        <v>458</v>
      </c>
      <c r="N934" s="177">
        <f t="shared" si="53"/>
        <v>113.43496817025503</v>
      </c>
      <c r="O934" s="177">
        <f t="shared" si="54"/>
        <v>116.83801721536268</v>
      </c>
      <c r="P934" s="177">
        <f t="shared" si="54"/>
        <v>120.34315773182357</v>
      </c>
      <c r="Q934" s="177">
        <f t="shared" si="54"/>
        <v>123.95345246377828</v>
      </c>
      <c r="R934" s="129">
        <v>526</v>
      </c>
      <c r="S934" s="177">
        <f t="shared" si="55"/>
        <v>127.67205603769163</v>
      </c>
      <c r="T934" s="177">
        <f t="shared" si="48"/>
        <v>131.50221771882238</v>
      </c>
      <c r="U934" s="177">
        <f t="shared" si="48"/>
        <v>135.44728425038704</v>
      </c>
      <c r="V934" s="177">
        <f t="shared" si="48"/>
        <v>139.51070277789864</v>
      </c>
      <c r="W934" s="129">
        <f t="shared" si="49"/>
        <v>534.13226078479966</v>
      </c>
    </row>
    <row r="935" spans="1:24" s="173" customFormat="1" ht="12.75" x14ac:dyDescent="0.2">
      <c r="A935" s="278"/>
      <c r="B935" s="277" t="s">
        <v>452</v>
      </c>
      <c r="C935" s="180"/>
      <c r="D935" s="177">
        <v>0</v>
      </c>
      <c r="E935" s="177">
        <v>0</v>
      </c>
      <c r="F935" s="177">
        <v>0</v>
      </c>
      <c r="G935" s="177">
        <f t="shared" si="50"/>
        <v>0</v>
      </c>
      <c r="H935" s="129">
        <f t="shared" si="47"/>
        <v>0</v>
      </c>
      <c r="I935" s="177">
        <f t="shared" si="51"/>
        <v>0</v>
      </c>
      <c r="J935" s="177">
        <f t="shared" si="52"/>
        <v>0</v>
      </c>
      <c r="K935" s="177">
        <f t="shared" si="52"/>
        <v>0</v>
      </c>
      <c r="L935" s="177">
        <f t="shared" si="52"/>
        <v>0</v>
      </c>
      <c r="M935" s="129">
        <v>0</v>
      </c>
      <c r="N935" s="177">
        <f t="shared" si="53"/>
        <v>0</v>
      </c>
      <c r="O935" s="177">
        <f t="shared" si="54"/>
        <v>0</v>
      </c>
      <c r="P935" s="177">
        <f t="shared" si="54"/>
        <v>0</v>
      </c>
      <c r="Q935" s="177">
        <f t="shared" si="54"/>
        <v>0</v>
      </c>
      <c r="R935" s="129">
        <v>0</v>
      </c>
      <c r="S935" s="177">
        <f t="shared" si="55"/>
        <v>0</v>
      </c>
      <c r="T935" s="177">
        <f t="shared" si="48"/>
        <v>0</v>
      </c>
      <c r="U935" s="177">
        <f t="shared" si="48"/>
        <v>0</v>
      </c>
      <c r="V935" s="177">
        <f t="shared" si="48"/>
        <v>0</v>
      </c>
      <c r="W935" s="129">
        <f t="shared" si="49"/>
        <v>0</v>
      </c>
    </row>
    <row r="936" spans="1:24" s="173" customFormat="1" ht="12.75" x14ac:dyDescent="0.2">
      <c r="A936" s="278"/>
      <c r="B936" s="277" t="s">
        <v>459</v>
      </c>
      <c r="C936" s="180"/>
      <c r="D936" s="177">
        <v>65</v>
      </c>
      <c r="E936" s="177">
        <v>68</v>
      </c>
      <c r="F936" s="177">
        <v>72</v>
      </c>
      <c r="G936" s="177">
        <f t="shared" si="50"/>
        <v>74.16</v>
      </c>
      <c r="H936" s="129">
        <f t="shared" si="47"/>
        <v>279.15999999999997</v>
      </c>
      <c r="I936" s="177">
        <f t="shared" si="51"/>
        <v>76.384799999999998</v>
      </c>
      <c r="J936" s="177">
        <f t="shared" si="52"/>
        <v>78.676344</v>
      </c>
      <c r="K936" s="177">
        <f t="shared" si="52"/>
        <v>81.036634320000005</v>
      </c>
      <c r="L936" s="177">
        <f t="shared" si="52"/>
        <v>83.46773334960001</v>
      </c>
      <c r="M936" s="129">
        <v>363</v>
      </c>
      <c r="N936" s="177">
        <f t="shared" si="53"/>
        <v>85.971765350088006</v>
      </c>
      <c r="O936" s="177">
        <f t="shared" si="54"/>
        <v>88.550918310590646</v>
      </c>
      <c r="P936" s="177">
        <f t="shared" si="54"/>
        <v>91.207445859908361</v>
      </c>
      <c r="Q936" s="177">
        <f t="shared" si="54"/>
        <v>93.943669235705613</v>
      </c>
      <c r="R936" s="129">
        <v>436</v>
      </c>
      <c r="S936" s="177">
        <f t="shared" si="55"/>
        <v>96.761979312776788</v>
      </c>
      <c r="T936" s="177">
        <f t="shared" si="48"/>
        <v>99.664838692160089</v>
      </c>
      <c r="U936" s="177">
        <f t="shared" si="48"/>
        <v>102.65478385292489</v>
      </c>
      <c r="V936" s="177">
        <f t="shared" si="48"/>
        <v>105.73442736851264</v>
      </c>
      <c r="W936" s="129">
        <f t="shared" si="49"/>
        <v>404.81602922637438</v>
      </c>
    </row>
    <row r="937" spans="1:24" s="173" customFormat="1" ht="12.75" x14ac:dyDescent="0.2">
      <c r="A937" s="278"/>
      <c r="B937" s="277" t="s">
        <v>462</v>
      </c>
      <c r="C937" s="180"/>
      <c r="D937" s="177">
        <v>40</v>
      </c>
      <c r="E937" s="177">
        <v>43</v>
      </c>
      <c r="F937" s="177">
        <v>47</v>
      </c>
      <c r="G937" s="177">
        <f t="shared" si="50"/>
        <v>48.410000000000004</v>
      </c>
      <c r="H937" s="129">
        <f t="shared" si="47"/>
        <v>178.41</v>
      </c>
      <c r="I937" s="177">
        <f t="shared" si="51"/>
        <v>49.862300000000005</v>
      </c>
      <c r="J937" s="177">
        <f t="shared" si="52"/>
        <v>51.358169000000004</v>
      </c>
      <c r="K937" s="177">
        <f t="shared" si="52"/>
        <v>52.898914070000004</v>
      </c>
      <c r="L937" s="177">
        <f t="shared" si="52"/>
        <v>54.485881492100006</v>
      </c>
      <c r="M937" s="129">
        <v>228</v>
      </c>
      <c r="N937" s="177">
        <f t="shared" si="53"/>
        <v>56.120457936863005</v>
      </c>
      <c r="O937" s="177">
        <f t="shared" si="54"/>
        <v>57.804071674968895</v>
      </c>
      <c r="P937" s="177">
        <f t="shared" si="54"/>
        <v>59.538193825217967</v>
      </c>
      <c r="Q937" s="177">
        <f t="shared" si="54"/>
        <v>61.324339639974504</v>
      </c>
      <c r="R937" s="129">
        <v>276</v>
      </c>
      <c r="S937" s="177">
        <f t="shared" si="55"/>
        <v>63.164069829173741</v>
      </c>
      <c r="T937" s="177">
        <f t="shared" si="48"/>
        <v>65.058991924048954</v>
      </c>
      <c r="U937" s="177">
        <f t="shared" si="48"/>
        <v>67.010761681770418</v>
      </c>
      <c r="V937" s="177">
        <f t="shared" si="48"/>
        <v>69.021084532223526</v>
      </c>
      <c r="W937" s="129">
        <f t="shared" si="49"/>
        <v>264.25490796721664</v>
      </c>
    </row>
    <row r="938" spans="1:24" s="173" customFormat="1" ht="12.75" x14ac:dyDescent="0.2">
      <c r="A938" s="278"/>
      <c r="B938" s="277" t="s">
        <v>436</v>
      </c>
      <c r="C938" s="180"/>
      <c r="D938" s="177">
        <v>65</v>
      </c>
      <c r="E938" s="177">
        <v>68</v>
      </c>
      <c r="F938" s="177">
        <v>72</v>
      </c>
      <c r="G938" s="177">
        <f t="shared" si="50"/>
        <v>74.16</v>
      </c>
      <c r="H938" s="129">
        <f t="shared" si="47"/>
        <v>279.15999999999997</v>
      </c>
      <c r="I938" s="177">
        <f t="shared" si="51"/>
        <v>76.384799999999998</v>
      </c>
      <c r="J938" s="177">
        <f t="shared" si="52"/>
        <v>78.676344</v>
      </c>
      <c r="K938" s="177">
        <f t="shared" si="52"/>
        <v>81.036634320000005</v>
      </c>
      <c r="L938" s="177">
        <f t="shared" si="52"/>
        <v>83.46773334960001</v>
      </c>
      <c r="M938" s="129">
        <v>363</v>
      </c>
      <c r="N938" s="177">
        <f t="shared" si="53"/>
        <v>85.971765350088006</v>
      </c>
      <c r="O938" s="177">
        <f t="shared" si="54"/>
        <v>88.550918310590646</v>
      </c>
      <c r="P938" s="177">
        <f t="shared" si="54"/>
        <v>91.207445859908361</v>
      </c>
      <c r="Q938" s="177">
        <f t="shared" si="54"/>
        <v>93.943669235705613</v>
      </c>
      <c r="R938" s="129">
        <v>436</v>
      </c>
      <c r="S938" s="177">
        <f t="shared" si="55"/>
        <v>96.761979312776788</v>
      </c>
      <c r="T938" s="177">
        <f t="shared" si="48"/>
        <v>99.664838692160089</v>
      </c>
      <c r="U938" s="177">
        <f t="shared" si="48"/>
        <v>102.65478385292489</v>
      </c>
      <c r="V938" s="177">
        <f t="shared" si="48"/>
        <v>105.73442736851264</v>
      </c>
      <c r="W938" s="129">
        <f t="shared" si="49"/>
        <v>404.81602922637438</v>
      </c>
    </row>
    <row r="939" spans="1:24" s="173" customFormat="1" ht="12.75" x14ac:dyDescent="0.2">
      <c r="A939" s="278"/>
      <c r="B939" s="277" t="s">
        <v>438</v>
      </c>
      <c r="C939" s="180"/>
      <c r="D939" s="177">
        <v>130</v>
      </c>
      <c r="E939" s="177">
        <v>136</v>
      </c>
      <c r="F939" s="177">
        <v>142</v>
      </c>
      <c r="G939" s="177">
        <f t="shared" si="50"/>
        <v>146.26</v>
      </c>
      <c r="H939" s="129">
        <f t="shared" si="47"/>
        <v>554.26</v>
      </c>
      <c r="I939" s="177">
        <f t="shared" si="51"/>
        <v>150.64779999999999</v>
      </c>
      <c r="J939" s="177">
        <f t="shared" si="52"/>
        <v>155.16723399999998</v>
      </c>
      <c r="K939" s="177">
        <f t="shared" si="52"/>
        <v>159.82225101999998</v>
      </c>
      <c r="L939" s="177">
        <f t="shared" si="52"/>
        <v>164.61691855059999</v>
      </c>
      <c r="M939" s="129">
        <v>686</v>
      </c>
      <c r="N939" s="177">
        <f t="shared" si="53"/>
        <v>169.555426107118</v>
      </c>
      <c r="O939" s="177">
        <f t="shared" si="54"/>
        <v>174.64208889033154</v>
      </c>
      <c r="P939" s="177">
        <f t="shared" si="54"/>
        <v>179.88135155704148</v>
      </c>
      <c r="Q939" s="177">
        <f t="shared" si="54"/>
        <v>185.27779210375274</v>
      </c>
      <c r="R939" s="129">
        <v>802</v>
      </c>
      <c r="S939" s="177">
        <f t="shared" si="55"/>
        <v>190.83612586686533</v>
      </c>
      <c r="T939" s="177">
        <f t="shared" si="48"/>
        <v>196.56120964287129</v>
      </c>
      <c r="U939" s="177">
        <f t="shared" si="48"/>
        <v>202.45804593215743</v>
      </c>
      <c r="V939" s="177">
        <f t="shared" si="48"/>
        <v>208.53178731012216</v>
      </c>
      <c r="W939" s="129">
        <f t="shared" si="49"/>
        <v>798.38716875201624</v>
      </c>
    </row>
    <row r="940" spans="1:24" s="173" customFormat="1" ht="12.75" x14ac:dyDescent="0.2">
      <c r="A940" s="278"/>
      <c r="B940" s="277" t="s">
        <v>467</v>
      </c>
      <c r="C940" s="180"/>
      <c r="D940" s="177">
        <v>0</v>
      </c>
      <c r="E940" s="177">
        <v>0</v>
      </c>
      <c r="F940" s="177">
        <v>0</v>
      </c>
      <c r="G940" s="177">
        <f t="shared" si="50"/>
        <v>0</v>
      </c>
      <c r="H940" s="129">
        <f t="shared" si="47"/>
        <v>0</v>
      </c>
      <c r="I940" s="177">
        <f t="shared" si="51"/>
        <v>0</v>
      </c>
      <c r="J940" s="177">
        <f t="shared" si="52"/>
        <v>0</v>
      </c>
      <c r="K940" s="177">
        <f t="shared" si="52"/>
        <v>0</v>
      </c>
      <c r="L940" s="177">
        <f t="shared" si="52"/>
        <v>0</v>
      </c>
      <c r="M940" s="129">
        <v>0</v>
      </c>
      <c r="N940" s="177">
        <f t="shared" si="53"/>
        <v>0</v>
      </c>
      <c r="O940" s="177">
        <f t="shared" si="54"/>
        <v>0</v>
      </c>
      <c r="P940" s="177">
        <f t="shared" si="54"/>
        <v>0</v>
      </c>
      <c r="Q940" s="177">
        <f t="shared" si="54"/>
        <v>0</v>
      </c>
      <c r="R940" s="129">
        <v>0</v>
      </c>
      <c r="S940" s="177">
        <f t="shared" si="55"/>
        <v>0</v>
      </c>
      <c r="T940" s="177">
        <f t="shared" si="48"/>
        <v>0</v>
      </c>
      <c r="U940" s="177">
        <f t="shared" si="48"/>
        <v>0</v>
      </c>
      <c r="V940" s="177">
        <f t="shared" si="48"/>
        <v>0</v>
      </c>
      <c r="W940" s="129">
        <f t="shared" si="49"/>
        <v>0</v>
      </c>
    </row>
    <row r="941" spans="1:24" s="173" customFormat="1" ht="12.75" x14ac:dyDescent="0.2">
      <c r="A941" s="278"/>
      <c r="B941" s="277" t="s">
        <v>470</v>
      </c>
      <c r="C941" s="180"/>
      <c r="D941" s="177">
        <v>65</v>
      </c>
      <c r="E941" s="177">
        <v>25</v>
      </c>
      <c r="F941" s="177">
        <v>72</v>
      </c>
      <c r="G941" s="177">
        <f t="shared" si="50"/>
        <v>74.16</v>
      </c>
      <c r="H941" s="129">
        <f t="shared" si="47"/>
        <v>236.16</v>
      </c>
      <c r="I941" s="177">
        <f t="shared" si="51"/>
        <v>76.384799999999998</v>
      </c>
      <c r="J941" s="177">
        <f t="shared" si="52"/>
        <v>78.676344</v>
      </c>
      <c r="K941" s="177">
        <f t="shared" si="52"/>
        <v>81.036634320000005</v>
      </c>
      <c r="L941" s="177">
        <f t="shared" si="52"/>
        <v>83.46773334960001</v>
      </c>
      <c r="M941" s="129">
        <v>258</v>
      </c>
      <c r="N941" s="177">
        <f t="shared" si="53"/>
        <v>85.971765350088006</v>
      </c>
      <c r="O941" s="177">
        <f t="shared" si="54"/>
        <v>88.550918310590646</v>
      </c>
      <c r="P941" s="177">
        <f t="shared" si="54"/>
        <v>91.207445859908361</v>
      </c>
      <c r="Q941" s="177">
        <f t="shared" si="54"/>
        <v>93.943669235705613</v>
      </c>
      <c r="R941" s="129">
        <v>276</v>
      </c>
      <c r="S941" s="177">
        <f t="shared" si="55"/>
        <v>96.761979312776788</v>
      </c>
      <c r="T941" s="177">
        <f t="shared" si="48"/>
        <v>99.664838692160089</v>
      </c>
      <c r="U941" s="177">
        <f t="shared" si="48"/>
        <v>102.65478385292489</v>
      </c>
      <c r="V941" s="177">
        <f t="shared" si="48"/>
        <v>105.73442736851264</v>
      </c>
      <c r="W941" s="129">
        <f t="shared" si="49"/>
        <v>404.81602922637438</v>
      </c>
    </row>
    <row r="942" spans="1:24" s="173" customFormat="1" ht="12.75" x14ac:dyDescent="0.2">
      <c r="A942" s="278"/>
      <c r="B942" s="277" t="s">
        <v>1035</v>
      </c>
      <c r="C942" s="180"/>
      <c r="D942" s="177">
        <v>40</v>
      </c>
      <c r="E942" s="177">
        <v>0</v>
      </c>
      <c r="F942" s="177">
        <v>47</v>
      </c>
      <c r="G942" s="177">
        <f t="shared" si="50"/>
        <v>48.410000000000004</v>
      </c>
      <c r="H942" s="129">
        <f t="shared" si="47"/>
        <v>135.41</v>
      </c>
      <c r="I942" s="177">
        <f t="shared" si="51"/>
        <v>49.862300000000005</v>
      </c>
      <c r="J942" s="177">
        <f t="shared" si="52"/>
        <v>51.358169000000004</v>
      </c>
      <c r="K942" s="177">
        <f t="shared" si="52"/>
        <v>52.898914070000004</v>
      </c>
      <c r="L942" s="177">
        <f t="shared" si="52"/>
        <v>54.485881492100006</v>
      </c>
      <c r="M942" s="129">
        <v>55</v>
      </c>
      <c r="N942" s="177">
        <f t="shared" si="53"/>
        <v>56.120457936863005</v>
      </c>
      <c r="O942" s="177">
        <f t="shared" si="54"/>
        <v>57.804071674968895</v>
      </c>
      <c r="P942" s="177">
        <f t="shared" si="54"/>
        <v>59.538193825217967</v>
      </c>
      <c r="Q942" s="177">
        <f t="shared" si="54"/>
        <v>61.324339639974504</v>
      </c>
      <c r="R942" s="129">
        <v>0</v>
      </c>
      <c r="S942" s="177">
        <f t="shared" si="55"/>
        <v>63.164069829173741</v>
      </c>
      <c r="T942" s="177">
        <f t="shared" si="48"/>
        <v>65.058991924048954</v>
      </c>
      <c r="U942" s="177">
        <f t="shared" si="48"/>
        <v>67.010761681770418</v>
      </c>
      <c r="V942" s="177">
        <f t="shared" si="48"/>
        <v>69.021084532223526</v>
      </c>
      <c r="W942" s="129">
        <f t="shared" si="49"/>
        <v>264.25490796721664</v>
      </c>
    </row>
    <row r="943" spans="1:24" s="173" customFormat="1" ht="12.75" x14ac:dyDescent="0.2">
      <c r="A943" s="278"/>
      <c r="B943" s="277" t="s">
        <v>483</v>
      </c>
      <c r="C943" s="180"/>
      <c r="D943" s="177">
        <v>40</v>
      </c>
      <c r="E943" s="177">
        <v>0</v>
      </c>
      <c r="F943" s="177">
        <v>47</v>
      </c>
      <c r="G943" s="177">
        <f t="shared" si="50"/>
        <v>48.410000000000004</v>
      </c>
      <c r="H943" s="129">
        <f t="shared" si="47"/>
        <v>135.41</v>
      </c>
      <c r="I943" s="177">
        <f t="shared" si="51"/>
        <v>49.862300000000005</v>
      </c>
      <c r="J943" s="177">
        <f t="shared" si="52"/>
        <v>51.358169000000004</v>
      </c>
      <c r="K943" s="177">
        <f t="shared" si="52"/>
        <v>52.898914070000004</v>
      </c>
      <c r="L943" s="177">
        <f t="shared" si="52"/>
        <v>54.485881492100006</v>
      </c>
      <c r="M943" s="129">
        <v>175</v>
      </c>
      <c r="N943" s="177">
        <f t="shared" si="53"/>
        <v>56.120457936863005</v>
      </c>
      <c r="O943" s="177">
        <f t="shared" si="54"/>
        <v>57.804071674968895</v>
      </c>
      <c r="P943" s="177">
        <f t="shared" si="54"/>
        <v>59.538193825217967</v>
      </c>
      <c r="Q943" s="177">
        <f t="shared" si="54"/>
        <v>61.324339639974504</v>
      </c>
      <c r="R943" s="129">
        <v>120</v>
      </c>
      <c r="S943" s="177">
        <f t="shared" si="55"/>
        <v>63.164069829173741</v>
      </c>
      <c r="T943" s="177">
        <f t="shared" si="48"/>
        <v>65.058991924048954</v>
      </c>
      <c r="U943" s="177">
        <f t="shared" si="48"/>
        <v>67.010761681770418</v>
      </c>
      <c r="V943" s="177">
        <f t="shared" si="48"/>
        <v>69.021084532223526</v>
      </c>
      <c r="W943" s="129">
        <f t="shared" si="49"/>
        <v>264.25490796721664</v>
      </c>
    </row>
    <row r="944" spans="1:24" s="173" customFormat="1" ht="12.75" x14ac:dyDescent="0.2">
      <c r="A944" s="278"/>
      <c r="B944" s="277" t="s">
        <v>694</v>
      </c>
      <c r="C944" s="180"/>
      <c r="D944" s="177">
        <v>0</v>
      </c>
      <c r="E944" s="177">
        <v>0</v>
      </c>
      <c r="F944" s="177">
        <v>0</v>
      </c>
      <c r="G944" s="177">
        <f t="shared" si="50"/>
        <v>0</v>
      </c>
      <c r="H944" s="129">
        <f t="shared" si="47"/>
        <v>0</v>
      </c>
      <c r="I944" s="177">
        <f t="shared" si="51"/>
        <v>0</v>
      </c>
      <c r="J944" s="177">
        <f t="shared" si="52"/>
        <v>0</v>
      </c>
      <c r="K944" s="177">
        <f t="shared" si="52"/>
        <v>0</v>
      </c>
      <c r="L944" s="177">
        <f t="shared" si="52"/>
        <v>0</v>
      </c>
      <c r="M944" s="129">
        <v>0</v>
      </c>
      <c r="N944" s="177">
        <f t="shared" si="53"/>
        <v>0</v>
      </c>
      <c r="O944" s="177">
        <f t="shared" si="54"/>
        <v>0</v>
      </c>
      <c r="P944" s="177">
        <f t="shared" si="54"/>
        <v>0</v>
      </c>
      <c r="Q944" s="177">
        <f t="shared" si="54"/>
        <v>0</v>
      </c>
      <c r="R944" s="129">
        <v>0</v>
      </c>
      <c r="S944" s="177">
        <f t="shared" si="55"/>
        <v>0</v>
      </c>
      <c r="T944" s="177">
        <f t="shared" si="48"/>
        <v>0</v>
      </c>
      <c r="U944" s="177">
        <f t="shared" si="48"/>
        <v>0</v>
      </c>
      <c r="V944" s="177">
        <f t="shared" si="48"/>
        <v>0</v>
      </c>
      <c r="W944" s="129">
        <f t="shared" si="49"/>
        <v>0</v>
      </c>
    </row>
    <row r="945" spans="1:23" s="173" customFormat="1" ht="12.75" x14ac:dyDescent="0.2">
      <c r="A945" s="278"/>
      <c r="B945" s="277" t="s">
        <v>1036</v>
      </c>
      <c r="C945" s="180"/>
      <c r="D945" s="177">
        <v>40</v>
      </c>
      <c r="E945" s="177">
        <v>0</v>
      </c>
      <c r="F945" s="177">
        <v>47</v>
      </c>
      <c r="G945" s="177">
        <f t="shared" si="50"/>
        <v>48.410000000000004</v>
      </c>
      <c r="H945" s="129">
        <f t="shared" si="47"/>
        <v>135.41</v>
      </c>
      <c r="I945" s="177">
        <f t="shared" si="51"/>
        <v>49.862300000000005</v>
      </c>
      <c r="J945" s="177">
        <f t="shared" si="52"/>
        <v>51.358169000000004</v>
      </c>
      <c r="K945" s="177">
        <f t="shared" si="52"/>
        <v>52.898914070000004</v>
      </c>
      <c r="L945" s="177">
        <f t="shared" si="52"/>
        <v>54.485881492100006</v>
      </c>
      <c r="M945" s="129">
        <v>175</v>
      </c>
      <c r="N945" s="177">
        <f t="shared" si="53"/>
        <v>56.120457936863005</v>
      </c>
      <c r="O945" s="177">
        <f t="shared" si="54"/>
        <v>57.804071674968895</v>
      </c>
      <c r="P945" s="177">
        <f t="shared" si="54"/>
        <v>59.538193825217967</v>
      </c>
      <c r="Q945" s="177">
        <f t="shared" si="54"/>
        <v>61.324339639974504</v>
      </c>
      <c r="R945" s="129">
        <v>120</v>
      </c>
      <c r="S945" s="177">
        <f t="shared" si="55"/>
        <v>63.164069829173741</v>
      </c>
      <c r="T945" s="177">
        <f t="shared" si="48"/>
        <v>65.058991924048954</v>
      </c>
      <c r="U945" s="177">
        <f t="shared" si="48"/>
        <v>67.010761681770418</v>
      </c>
      <c r="V945" s="177">
        <f t="shared" si="48"/>
        <v>69.021084532223526</v>
      </c>
      <c r="W945" s="129">
        <f t="shared" si="49"/>
        <v>264.25490796721664</v>
      </c>
    </row>
    <row r="946" spans="1:23" s="136" customFormat="1" ht="12.75" x14ac:dyDescent="0.2">
      <c r="A946" s="278"/>
      <c r="B946" s="277" t="s">
        <v>536</v>
      </c>
      <c r="C946" s="180"/>
      <c r="D946" s="177">
        <v>0</v>
      </c>
      <c r="E946" s="177">
        <v>0</v>
      </c>
      <c r="F946" s="177">
        <v>30</v>
      </c>
      <c r="G946" s="177">
        <f t="shared" si="50"/>
        <v>30.900000000000002</v>
      </c>
      <c r="H946" s="129">
        <f t="shared" si="47"/>
        <v>60.900000000000006</v>
      </c>
      <c r="I946" s="177">
        <f t="shared" si="51"/>
        <v>31.827000000000002</v>
      </c>
      <c r="J946" s="177">
        <f t="shared" si="52"/>
        <v>32.78181</v>
      </c>
      <c r="K946" s="177">
        <f t="shared" si="52"/>
        <v>33.765264299999998</v>
      </c>
      <c r="L946" s="177">
        <f t="shared" si="52"/>
        <v>34.778222229000001</v>
      </c>
      <c r="M946" s="129">
        <v>0</v>
      </c>
      <c r="N946" s="177">
        <f t="shared" si="53"/>
        <v>35.821568895870001</v>
      </c>
      <c r="O946" s="177">
        <f t="shared" si="54"/>
        <v>36.896215962746105</v>
      </c>
      <c r="P946" s="177">
        <f t="shared" si="54"/>
        <v>38.003102441628492</v>
      </c>
      <c r="Q946" s="177">
        <f t="shared" si="54"/>
        <v>39.143195514877348</v>
      </c>
      <c r="R946" s="129">
        <v>0</v>
      </c>
      <c r="S946" s="177">
        <f t="shared" si="55"/>
        <v>40.317491380323666</v>
      </c>
      <c r="T946" s="177">
        <f t="shared" si="48"/>
        <v>41.527016121733375</v>
      </c>
      <c r="U946" s="177">
        <f t="shared" si="48"/>
        <v>42.772826605385376</v>
      </c>
      <c r="V946" s="177">
        <f t="shared" si="48"/>
        <v>44.05601140354694</v>
      </c>
      <c r="W946" s="129">
        <f t="shared" si="49"/>
        <v>168.67334551098935</v>
      </c>
    </row>
    <row r="947" spans="1:23" s="119" customFormat="1" ht="12.75" x14ac:dyDescent="0.2">
      <c r="A947" s="278"/>
      <c r="B947" s="277" t="s">
        <v>1037</v>
      </c>
      <c r="C947" s="180"/>
      <c r="D947" s="177">
        <v>0</v>
      </c>
      <c r="E947" s="177">
        <v>0</v>
      </c>
      <c r="F947" s="177">
        <v>30</v>
      </c>
      <c r="G947" s="177">
        <f t="shared" si="50"/>
        <v>30.900000000000002</v>
      </c>
      <c r="H947" s="129">
        <f t="shared" si="47"/>
        <v>60.900000000000006</v>
      </c>
      <c r="I947" s="177">
        <f t="shared" si="51"/>
        <v>31.827000000000002</v>
      </c>
      <c r="J947" s="177">
        <f t="shared" si="52"/>
        <v>32.78181</v>
      </c>
      <c r="K947" s="177">
        <f t="shared" si="52"/>
        <v>33.765264299999998</v>
      </c>
      <c r="L947" s="177">
        <f t="shared" si="52"/>
        <v>34.778222229000001</v>
      </c>
      <c r="M947" s="129">
        <v>0</v>
      </c>
      <c r="N947" s="177">
        <f t="shared" si="53"/>
        <v>35.821568895870001</v>
      </c>
      <c r="O947" s="177">
        <f t="shared" si="54"/>
        <v>36.896215962746105</v>
      </c>
      <c r="P947" s="177">
        <f t="shared" si="54"/>
        <v>38.003102441628492</v>
      </c>
      <c r="Q947" s="177">
        <f t="shared" si="54"/>
        <v>39.143195514877348</v>
      </c>
      <c r="R947" s="129">
        <v>0</v>
      </c>
      <c r="S947" s="177">
        <f t="shared" si="55"/>
        <v>40.317491380323666</v>
      </c>
      <c r="T947" s="177">
        <f t="shared" ref="T947:V962" si="56">S947*103%</f>
        <v>41.527016121733375</v>
      </c>
      <c r="U947" s="177">
        <f t="shared" si="56"/>
        <v>42.772826605385376</v>
      </c>
      <c r="V947" s="177">
        <f t="shared" si="56"/>
        <v>44.05601140354694</v>
      </c>
      <c r="W947" s="129">
        <f t="shared" si="49"/>
        <v>168.67334551098935</v>
      </c>
    </row>
    <row r="948" spans="1:23" s="119" customFormat="1" ht="12.75" x14ac:dyDescent="0.2">
      <c r="A948" s="278"/>
      <c r="B948" s="277" t="s">
        <v>1038</v>
      </c>
      <c r="C948" s="180"/>
      <c r="D948" s="177">
        <v>0</v>
      </c>
      <c r="E948" s="177">
        <v>0</v>
      </c>
      <c r="F948" s="177">
        <v>30</v>
      </c>
      <c r="G948" s="177">
        <f t="shared" si="50"/>
        <v>30.900000000000002</v>
      </c>
      <c r="H948" s="129">
        <f t="shared" si="47"/>
        <v>60.900000000000006</v>
      </c>
      <c r="I948" s="177">
        <f t="shared" si="51"/>
        <v>31.827000000000002</v>
      </c>
      <c r="J948" s="177">
        <f t="shared" ref="J948:L963" si="57">I948*103%</f>
        <v>32.78181</v>
      </c>
      <c r="K948" s="177">
        <f t="shared" si="57"/>
        <v>33.765264299999998</v>
      </c>
      <c r="L948" s="177">
        <f t="shared" si="57"/>
        <v>34.778222229000001</v>
      </c>
      <c r="M948" s="129">
        <v>0</v>
      </c>
      <c r="N948" s="177">
        <f t="shared" si="53"/>
        <v>35.821568895870001</v>
      </c>
      <c r="O948" s="177">
        <f t="shared" ref="O948:Q963" si="58">N948*103%</f>
        <v>36.896215962746105</v>
      </c>
      <c r="P948" s="177">
        <f t="shared" si="58"/>
        <v>38.003102441628492</v>
      </c>
      <c r="Q948" s="177">
        <f t="shared" si="58"/>
        <v>39.143195514877348</v>
      </c>
      <c r="R948" s="129">
        <v>0</v>
      </c>
      <c r="S948" s="177">
        <f t="shared" si="55"/>
        <v>40.317491380323666</v>
      </c>
      <c r="T948" s="177">
        <f t="shared" si="56"/>
        <v>41.527016121733375</v>
      </c>
      <c r="U948" s="177">
        <f t="shared" si="56"/>
        <v>42.772826605385376</v>
      </c>
      <c r="V948" s="177">
        <f t="shared" si="56"/>
        <v>44.05601140354694</v>
      </c>
      <c r="W948" s="129">
        <f t="shared" si="49"/>
        <v>168.67334551098935</v>
      </c>
    </row>
    <row r="949" spans="1:23" s="119" customFormat="1" ht="12.75" x14ac:dyDescent="0.2">
      <c r="A949" s="278"/>
      <c r="B949" s="277" t="s">
        <v>1039</v>
      </c>
      <c r="C949" s="180"/>
      <c r="D949" s="177">
        <v>0</v>
      </c>
      <c r="E949" s="177">
        <v>0</v>
      </c>
      <c r="F949" s="177">
        <v>30</v>
      </c>
      <c r="G949" s="177">
        <f t="shared" si="50"/>
        <v>30.900000000000002</v>
      </c>
      <c r="H949" s="129">
        <f t="shared" si="47"/>
        <v>60.900000000000006</v>
      </c>
      <c r="I949" s="177">
        <f t="shared" si="51"/>
        <v>31.827000000000002</v>
      </c>
      <c r="J949" s="177">
        <f t="shared" si="57"/>
        <v>32.78181</v>
      </c>
      <c r="K949" s="177">
        <f t="shared" si="57"/>
        <v>33.765264299999998</v>
      </c>
      <c r="L949" s="177">
        <f t="shared" si="57"/>
        <v>34.778222229000001</v>
      </c>
      <c r="M949" s="129">
        <v>0</v>
      </c>
      <c r="N949" s="177">
        <f t="shared" si="53"/>
        <v>35.821568895870001</v>
      </c>
      <c r="O949" s="177">
        <f t="shared" si="58"/>
        <v>36.896215962746105</v>
      </c>
      <c r="P949" s="177">
        <f t="shared" si="58"/>
        <v>38.003102441628492</v>
      </c>
      <c r="Q949" s="177">
        <f t="shared" si="58"/>
        <v>39.143195514877348</v>
      </c>
      <c r="R949" s="129">
        <v>0</v>
      </c>
      <c r="S949" s="177">
        <f t="shared" si="55"/>
        <v>40.317491380323666</v>
      </c>
      <c r="T949" s="177">
        <f t="shared" si="56"/>
        <v>41.527016121733375</v>
      </c>
      <c r="U949" s="177">
        <f t="shared" si="56"/>
        <v>42.772826605385376</v>
      </c>
      <c r="V949" s="177">
        <f t="shared" si="56"/>
        <v>44.05601140354694</v>
      </c>
      <c r="W949" s="129">
        <f t="shared" si="49"/>
        <v>168.67334551098935</v>
      </c>
    </row>
    <row r="950" spans="1:23" s="119" customFormat="1" ht="12.75" x14ac:dyDescent="0.2">
      <c r="A950" s="278"/>
      <c r="B950" s="277" t="s">
        <v>477</v>
      </c>
      <c r="C950" s="180"/>
      <c r="D950" s="177">
        <v>40</v>
      </c>
      <c r="E950" s="177">
        <v>0</v>
      </c>
      <c r="F950" s="177">
        <v>47</v>
      </c>
      <c r="G950" s="177">
        <f t="shared" si="50"/>
        <v>48.410000000000004</v>
      </c>
      <c r="H950" s="129">
        <f t="shared" si="47"/>
        <v>135.41</v>
      </c>
      <c r="I950" s="177">
        <f t="shared" si="51"/>
        <v>49.862300000000005</v>
      </c>
      <c r="J950" s="177">
        <f t="shared" si="57"/>
        <v>51.358169000000004</v>
      </c>
      <c r="K950" s="177">
        <f t="shared" si="57"/>
        <v>52.898914070000004</v>
      </c>
      <c r="L950" s="177">
        <f t="shared" si="57"/>
        <v>54.485881492100006</v>
      </c>
      <c r="M950" s="129">
        <v>175</v>
      </c>
      <c r="N950" s="177">
        <f t="shared" si="53"/>
        <v>56.120457936863005</v>
      </c>
      <c r="O950" s="177">
        <f t="shared" si="58"/>
        <v>57.804071674968895</v>
      </c>
      <c r="P950" s="177">
        <f t="shared" si="58"/>
        <v>59.538193825217967</v>
      </c>
      <c r="Q950" s="177">
        <f t="shared" si="58"/>
        <v>61.324339639974504</v>
      </c>
      <c r="R950" s="129">
        <v>120</v>
      </c>
      <c r="S950" s="177">
        <f t="shared" si="55"/>
        <v>63.164069829173741</v>
      </c>
      <c r="T950" s="177">
        <f t="shared" si="56"/>
        <v>65.058991924048954</v>
      </c>
      <c r="U950" s="177">
        <f t="shared" si="56"/>
        <v>67.010761681770418</v>
      </c>
      <c r="V950" s="177">
        <f t="shared" si="56"/>
        <v>69.021084532223526</v>
      </c>
      <c r="W950" s="129">
        <f t="shared" si="49"/>
        <v>264.25490796721664</v>
      </c>
    </row>
    <row r="951" spans="1:23" s="119" customFormat="1" ht="12.75" x14ac:dyDescent="0.2">
      <c r="A951" s="278"/>
      <c r="B951" s="277" t="s">
        <v>443</v>
      </c>
      <c r="C951" s="180"/>
      <c r="D951" s="177">
        <v>0</v>
      </c>
      <c r="E951" s="177">
        <v>0</v>
      </c>
      <c r="F951" s="177">
        <v>70</v>
      </c>
      <c r="G951" s="177">
        <f t="shared" si="50"/>
        <v>72.100000000000009</v>
      </c>
      <c r="H951" s="129">
        <f t="shared" si="47"/>
        <v>142.10000000000002</v>
      </c>
      <c r="I951" s="177">
        <f t="shared" si="51"/>
        <v>74.263000000000005</v>
      </c>
      <c r="J951" s="177">
        <f t="shared" si="57"/>
        <v>76.490890000000007</v>
      </c>
      <c r="K951" s="177">
        <f t="shared" si="57"/>
        <v>78.785616700000006</v>
      </c>
      <c r="L951" s="177">
        <f t="shared" si="57"/>
        <v>81.149185201000009</v>
      </c>
      <c r="M951" s="129">
        <v>0</v>
      </c>
      <c r="N951" s="177">
        <f t="shared" si="53"/>
        <v>83.583660757030017</v>
      </c>
      <c r="O951" s="177">
        <f t="shared" si="58"/>
        <v>86.091170579740918</v>
      </c>
      <c r="P951" s="177">
        <f t="shared" si="58"/>
        <v>88.673905697133151</v>
      </c>
      <c r="Q951" s="177">
        <f t="shared" si="58"/>
        <v>91.334122868047146</v>
      </c>
      <c r="R951" s="129">
        <v>0</v>
      </c>
      <c r="S951" s="177">
        <f t="shared" si="55"/>
        <v>94.074146554088557</v>
      </c>
      <c r="T951" s="177">
        <f t="shared" si="56"/>
        <v>96.896370950711216</v>
      </c>
      <c r="U951" s="177">
        <f t="shared" si="56"/>
        <v>99.803262079232553</v>
      </c>
      <c r="V951" s="177">
        <f t="shared" si="56"/>
        <v>102.79735994160953</v>
      </c>
      <c r="W951" s="129">
        <f t="shared" si="49"/>
        <v>393.57113952564191</v>
      </c>
    </row>
    <row r="952" spans="1:23" s="119" customFormat="1" ht="12.75" x14ac:dyDescent="0.2">
      <c r="A952" s="278"/>
      <c r="B952" s="277" t="s">
        <v>454</v>
      </c>
      <c r="C952" s="180"/>
      <c r="D952" s="177">
        <v>190</v>
      </c>
      <c r="E952" s="177">
        <v>43</v>
      </c>
      <c r="F952" s="177">
        <v>47</v>
      </c>
      <c r="G952" s="177">
        <f t="shared" si="50"/>
        <v>48.410000000000004</v>
      </c>
      <c r="H952" s="129">
        <f t="shared" si="47"/>
        <v>328.41</v>
      </c>
      <c r="I952" s="177">
        <f t="shared" si="51"/>
        <v>49.862300000000005</v>
      </c>
      <c r="J952" s="177">
        <f t="shared" si="57"/>
        <v>51.358169000000004</v>
      </c>
      <c r="K952" s="177">
        <f t="shared" si="57"/>
        <v>52.898914070000004</v>
      </c>
      <c r="L952" s="177">
        <f t="shared" si="57"/>
        <v>54.485881492100006</v>
      </c>
      <c r="M952" s="129">
        <v>333</v>
      </c>
      <c r="N952" s="177">
        <f t="shared" si="53"/>
        <v>56.120457936863005</v>
      </c>
      <c r="O952" s="177">
        <f t="shared" si="58"/>
        <v>57.804071674968895</v>
      </c>
      <c r="P952" s="177">
        <f t="shared" si="58"/>
        <v>59.538193825217967</v>
      </c>
      <c r="Q952" s="177">
        <f t="shared" si="58"/>
        <v>61.324339639974504</v>
      </c>
      <c r="R952" s="129">
        <v>436</v>
      </c>
      <c r="S952" s="177">
        <f t="shared" si="55"/>
        <v>63.164069829173741</v>
      </c>
      <c r="T952" s="177">
        <f t="shared" si="56"/>
        <v>65.058991924048954</v>
      </c>
      <c r="U952" s="177">
        <f t="shared" si="56"/>
        <v>67.010761681770418</v>
      </c>
      <c r="V952" s="177">
        <f t="shared" si="56"/>
        <v>69.021084532223526</v>
      </c>
      <c r="W952" s="129">
        <f t="shared" si="49"/>
        <v>264.25490796721664</v>
      </c>
    </row>
    <row r="953" spans="1:23" s="119" customFormat="1" ht="12.75" x14ac:dyDescent="0.2">
      <c r="A953" s="278"/>
      <c r="B953" s="277" t="s">
        <v>461</v>
      </c>
      <c r="C953" s="180"/>
      <c r="D953" s="177">
        <v>0</v>
      </c>
      <c r="E953" s="177">
        <v>0</v>
      </c>
      <c r="F953" s="177">
        <v>30</v>
      </c>
      <c r="G953" s="177">
        <f t="shared" si="50"/>
        <v>30.900000000000002</v>
      </c>
      <c r="H953" s="129">
        <f t="shared" si="47"/>
        <v>60.900000000000006</v>
      </c>
      <c r="I953" s="177">
        <f t="shared" si="51"/>
        <v>31.827000000000002</v>
      </c>
      <c r="J953" s="177">
        <f t="shared" si="57"/>
        <v>32.78181</v>
      </c>
      <c r="K953" s="177">
        <f t="shared" si="57"/>
        <v>33.765264299999998</v>
      </c>
      <c r="L953" s="177">
        <f t="shared" si="57"/>
        <v>34.778222229000001</v>
      </c>
      <c r="M953" s="129">
        <v>0</v>
      </c>
      <c r="N953" s="177">
        <f t="shared" si="53"/>
        <v>35.821568895870001</v>
      </c>
      <c r="O953" s="177">
        <f t="shared" si="58"/>
        <v>36.896215962746105</v>
      </c>
      <c r="P953" s="177">
        <f t="shared" si="58"/>
        <v>38.003102441628492</v>
      </c>
      <c r="Q953" s="177">
        <f t="shared" si="58"/>
        <v>39.143195514877348</v>
      </c>
      <c r="R953" s="129">
        <v>0</v>
      </c>
      <c r="S953" s="177">
        <f t="shared" si="55"/>
        <v>40.317491380323666</v>
      </c>
      <c r="T953" s="177">
        <f t="shared" si="56"/>
        <v>41.527016121733375</v>
      </c>
      <c r="U953" s="177">
        <f t="shared" si="56"/>
        <v>42.772826605385376</v>
      </c>
      <c r="V953" s="177">
        <f t="shared" si="56"/>
        <v>44.05601140354694</v>
      </c>
      <c r="W953" s="129">
        <f t="shared" si="49"/>
        <v>168.67334551098935</v>
      </c>
    </row>
    <row r="954" spans="1:23" s="119" customFormat="1" ht="12.75" x14ac:dyDescent="0.2">
      <c r="A954" s="278"/>
      <c r="B954" s="277" t="s">
        <v>463</v>
      </c>
      <c r="C954" s="180"/>
      <c r="D954" s="177">
        <v>65</v>
      </c>
      <c r="E954" s="177">
        <v>68</v>
      </c>
      <c r="F954" s="177">
        <v>72</v>
      </c>
      <c r="G954" s="177">
        <f t="shared" si="50"/>
        <v>74.16</v>
      </c>
      <c r="H954" s="129">
        <f t="shared" si="47"/>
        <v>279.15999999999997</v>
      </c>
      <c r="I954" s="177">
        <f t="shared" si="51"/>
        <v>76.384799999999998</v>
      </c>
      <c r="J954" s="177">
        <f t="shared" si="57"/>
        <v>78.676344</v>
      </c>
      <c r="K954" s="177">
        <f t="shared" si="57"/>
        <v>81.036634320000005</v>
      </c>
      <c r="L954" s="177">
        <f t="shared" si="57"/>
        <v>83.46773334960001</v>
      </c>
      <c r="M954" s="129">
        <v>363</v>
      </c>
      <c r="N954" s="177">
        <f t="shared" si="53"/>
        <v>85.971765350088006</v>
      </c>
      <c r="O954" s="177">
        <f t="shared" si="58"/>
        <v>88.550918310590646</v>
      </c>
      <c r="P954" s="177">
        <f t="shared" si="58"/>
        <v>91.207445859908361</v>
      </c>
      <c r="Q954" s="177">
        <f t="shared" si="58"/>
        <v>93.943669235705613</v>
      </c>
      <c r="R954" s="129">
        <v>436</v>
      </c>
      <c r="S954" s="177">
        <f t="shared" si="55"/>
        <v>96.761979312776788</v>
      </c>
      <c r="T954" s="177">
        <f t="shared" si="56"/>
        <v>99.664838692160089</v>
      </c>
      <c r="U954" s="177">
        <f t="shared" si="56"/>
        <v>102.65478385292489</v>
      </c>
      <c r="V954" s="177">
        <f t="shared" si="56"/>
        <v>105.73442736851264</v>
      </c>
      <c r="W954" s="129">
        <f t="shared" si="49"/>
        <v>404.81602922637438</v>
      </c>
    </row>
    <row r="955" spans="1:23" s="119" customFormat="1" ht="12.75" x14ac:dyDescent="0.2">
      <c r="A955" s="278"/>
      <c r="B955" s="277" t="s">
        <v>445</v>
      </c>
      <c r="C955" s="180"/>
      <c r="D955" s="177">
        <v>65</v>
      </c>
      <c r="E955" s="177">
        <v>68</v>
      </c>
      <c r="F955" s="177">
        <v>72</v>
      </c>
      <c r="G955" s="177">
        <f t="shared" si="50"/>
        <v>74.16</v>
      </c>
      <c r="H955" s="129">
        <f t="shared" si="47"/>
        <v>279.15999999999997</v>
      </c>
      <c r="I955" s="177">
        <f t="shared" si="51"/>
        <v>76.384799999999998</v>
      </c>
      <c r="J955" s="177">
        <f t="shared" si="57"/>
        <v>78.676344</v>
      </c>
      <c r="K955" s="177">
        <f t="shared" si="57"/>
        <v>81.036634320000005</v>
      </c>
      <c r="L955" s="177">
        <f t="shared" si="57"/>
        <v>83.46773334960001</v>
      </c>
      <c r="M955" s="129">
        <v>363</v>
      </c>
      <c r="N955" s="177">
        <f t="shared" si="53"/>
        <v>85.971765350088006</v>
      </c>
      <c r="O955" s="177">
        <f t="shared" si="58"/>
        <v>88.550918310590646</v>
      </c>
      <c r="P955" s="177">
        <f t="shared" si="58"/>
        <v>91.207445859908361</v>
      </c>
      <c r="Q955" s="177">
        <f t="shared" si="58"/>
        <v>93.943669235705613</v>
      </c>
      <c r="R955" s="129">
        <v>436</v>
      </c>
      <c r="S955" s="177">
        <f t="shared" si="55"/>
        <v>96.761979312776788</v>
      </c>
      <c r="T955" s="177">
        <f t="shared" si="56"/>
        <v>99.664838692160089</v>
      </c>
      <c r="U955" s="177">
        <f t="shared" si="56"/>
        <v>102.65478385292489</v>
      </c>
      <c r="V955" s="177">
        <f t="shared" si="56"/>
        <v>105.73442736851264</v>
      </c>
      <c r="W955" s="129">
        <f t="shared" si="49"/>
        <v>404.81602922637438</v>
      </c>
    </row>
    <row r="956" spans="1:23" s="119" customFormat="1" ht="12.75" x14ac:dyDescent="0.2">
      <c r="A956" s="278"/>
      <c r="B956" s="277" t="s">
        <v>469</v>
      </c>
      <c r="C956" s="180"/>
      <c r="D956" s="177">
        <v>0</v>
      </c>
      <c r="E956" s="177">
        <v>0</v>
      </c>
      <c r="F956" s="177">
        <v>40</v>
      </c>
      <c r="G956" s="177">
        <f t="shared" si="50"/>
        <v>41.2</v>
      </c>
      <c r="H956" s="129">
        <f t="shared" si="47"/>
        <v>81.2</v>
      </c>
      <c r="I956" s="177">
        <f t="shared" si="51"/>
        <v>42.436000000000007</v>
      </c>
      <c r="J956" s="177">
        <f t="shared" si="57"/>
        <v>43.709080000000007</v>
      </c>
      <c r="K956" s="177">
        <f t="shared" si="57"/>
        <v>45.020352400000007</v>
      </c>
      <c r="L956" s="177">
        <f t="shared" si="57"/>
        <v>46.370962972000008</v>
      </c>
      <c r="M956" s="129">
        <v>0</v>
      </c>
      <c r="N956" s="177">
        <f t="shared" si="53"/>
        <v>47.762091861160009</v>
      </c>
      <c r="O956" s="177">
        <f t="shared" si="58"/>
        <v>49.194954616994814</v>
      </c>
      <c r="P956" s="177">
        <f t="shared" si="58"/>
        <v>50.670803255504659</v>
      </c>
      <c r="Q956" s="177">
        <f t="shared" si="58"/>
        <v>52.190927353169798</v>
      </c>
      <c r="R956" s="129">
        <v>0</v>
      </c>
      <c r="S956" s="177">
        <f t="shared" si="55"/>
        <v>53.756655173764891</v>
      </c>
      <c r="T956" s="177">
        <f t="shared" si="56"/>
        <v>55.369354828977841</v>
      </c>
      <c r="U956" s="177">
        <f t="shared" si="56"/>
        <v>57.030435473847177</v>
      </c>
      <c r="V956" s="177">
        <f t="shared" si="56"/>
        <v>58.741348538062596</v>
      </c>
      <c r="W956" s="129">
        <f t="shared" si="49"/>
        <v>224.8977940146525</v>
      </c>
    </row>
    <row r="957" spans="1:23" s="119" customFormat="1" ht="12.75" x14ac:dyDescent="0.2">
      <c r="A957" s="278"/>
      <c r="B957" s="277" t="s">
        <v>478</v>
      </c>
      <c r="C957" s="180"/>
      <c r="D957" s="177">
        <v>65</v>
      </c>
      <c r="E957" s="177">
        <v>68</v>
      </c>
      <c r="F957" s="177">
        <v>72</v>
      </c>
      <c r="G957" s="177">
        <f t="shared" si="50"/>
        <v>74.16</v>
      </c>
      <c r="H957" s="129">
        <f t="shared" si="47"/>
        <v>279.15999999999997</v>
      </c>
      <c r="I957" s="177">
        <f t="shared" si="51"/>
        <v>76.384799999999998</v>
      </c>
      <c r="J957" s="177">
        <f t="shared" si="57"/>
        <v>78.676344</v>
      </c>
      <c r="K957" s="177">
        <f t="shared" si="57"/>
        <v>81.036634320000005</v>
      </c>
      <c r="L957" s="177">
        <f t="shared" si="57"/>
        <v>83.46773334960001</v>
      </c>
      <c r="M957" s="129">
        <v>363</v>
      </c>
      <c r="N957" s="177">
        <f t="shared" si="53"/>
        <v>85.971765350088006</v>
      </c>
      <c r="O957" s="177">
        <f t="shared" si="58"/>
        <v>88.550918310590646</v>
      </c>
      <c r="P957" s="177">
        <f t="shared" si="58"/>
        <v>91.207445859908361</v>
      </c>
      <c r="Q957" s="177">
        <f t="shared" si="58"/>
        <v>93.943669235705613</v>
      </c>
      <c r="R957" s="129">
        <v>436</v>
      </c>
      <c r="S957" s="177">
        <f t="shared" si="55"/>
        <v>96.761979312776788</v>
      </c>
      <c r="T957" s="177">
        <f t="shared" si="56"/>
        <v>99.664838692160089</v>
      </c>
      <c r="U957" s="177">
        <f t="shared" si="56"/>
        <v>102.65478385292489</v>
      </c>
      <c r="V957" s="177">
        <f t="shared" si="56"/>
        <v>105.73442736851264</v>
      </c>
      <c r="W957" s="129">
        <f t="shared" si="49"/>
        <v>404.81602922637438</v>
      </c>
    </row>
    <row r="958" spans="1:23" s="119" customFormat="1" ht="12.75" x14ac:dyDescent="0.2">
      <c r="A958" s="278"/>
      <c r="B958" s="277" t="s">
        <v>450</v>
      </c>
      <c r="C958" s="180"/>
      <c r="D958" s="177">
        <v>65</v>
      </c>
      <c r="E958" s="177">
        <v>68</v>
      </c>
      <c r="F958" s="177">
        <v>72</v>
      </c>
      <c r="G958" s="177">
        <f t="shared" si="50"/>
        <v>74.16</v>
      </c>
      <c r="H958" s="129">
        <f t="shared" si="47"/>
        <v>279.15999999999997</v>
      </c>
      <c r="I958" s="177">
        <f t="shared" si="51"/>
        <v>76.384799999999998</v>
      </c>
      <c r="J958" s="177">
        <f t="shared" si="57"/>
        <v>78.676344</v>
      </c>
      <c r="K958" s="177">
        <f t="shared" si="57"/>
        <v>81.036634320000005</v>
      </c>
      <c r="L958" s="177">
        <f t="shared" si="57"/>
        <v>83.46773334960001</v>
      </c>
      <c r="M958" s="129">
        <v>363</v>
      </c>
      <c r="N958" s="177">
        <f t="shared" si="53"/>
        <v>85.971765350088006</v>
      </c>
      <c r="O958" s="177">
        <f t="shared" si="58"/>
        <v>88.550918310590646</v>
      </c>
      <c r="P958" s="177">
        <f t="shared" si="58"/>
        <v>91.207445859908361</v>
      </c>
      <c r="Q958" s="177">
        <f t="shared" si="58"/>
        <v>93.943669235705613</v>
      </c>
      <c r="R958" s="129">
        <v>436</v>
      </c>
      <c r="S958" s="177">
        <f t="shared" si="55"/>
        <v>96.761979312776788</v>
      </c>
      <c r="T958" s="177">
        <f t="shared" si="56"/>
        <v>99.664838692160089</v>
      </c>
      <c r="U958" s="177">
        <f t="shared" si="56"/>
        <v>102.65478385292489</v>
      </c>
      <c r="V958" s="177">
        <f t="shared" si="56"/>
        <v>105.73442736851264</v>
      </c>
      <c r="W958" s="129">
        <f t="shared" si="49"/>
        <v>404.81602922637438</v>
      </c>
    </row>
    <row r="959" spans="1:23" s="119" customFormat="1" ht="12.75" x14ac:dyDescent="0.2">
      <c r="A959" s="278"/>
      <c r="B959" s="277" t="s">
        <v>1040</v>
      </c>
      <c r="C959" s="180"/>
      <c r="D959" s="177">
        <v>0</v>
      </c>
      <c r="E959" s="177">
        <v>0</v>
      </c>
      <c r="F959" s="177">
        <v>30</v>
      </c>
      <c r="G959" s="177">
        <f t="shared" si="50"/>
        <v>30.900000000000002</v>
      </c>
      <c r="H959" s="129">
        <f t="shared" si="47"/>
        <v>60.900000000000006</v>
      </c>
      <c r="I959" s="177">
        <f t="shared" si="51"/>
        <v>31.827000000000002</v>
      </c>
      <c r="J959" s="177">
        <f t="shared" si="57"/>
        <v>32.78181</v>
      </c>
      <c r="K959" s="177">
        <f t="shared" si="57"/>
        <v>33.765264299999998</v>
      </c>
      <c r="L959" s="177">
        <f t="shared" si="57"/>
        <v>34.778222229000001</v>
      </c>
      <c r="M959" s="129">
        <v>0</v>
      </c>
      <c r="N959" s="177">
        <f t="shared" si="53"/>
        <v>35.821568895870001</v>
      </c>
      <c r="O959" s="177">
        <f t="shared" si="58"/>
        <v>36.896215962746105</v>
      </c>
      <c r="P959" s="177">
        <f t="shared" si="58"/>
        <v>38.003102441628492</v>
      </c>
      <c r="Q959" s="177">
        <f t="shared" si="58"/>
        <v>39.143195514877348</v>
      </c>
      <c r="R959" s="129">
        <v>0</v>
      </c>
      <c r="S959" s="177">
        <f t="shared" si="55"/>
        <v>40.317491380323666</v>
      </c>
      <c r="T959" s="177">
        <f t="shared" si="56"/>
        <v>41.527016121733375</v>
      </c>
      <c r="U959" s="177">
        <f t="shared" si="56"/>
        <v>42.772826605385376</v>
      </c>
      <c r="V959" s="177">
        <f t="shared" si="56"/>
        <v>44.05601140354694</v>
      </c>
      <c r="W959" s="129">
        <f t="shared" si="49"/>
        <v>168.67334551098935</v>
      </c>
    </row>
    <row r="960" spans="1:23" s="119" customFormat="1" ht="12.75" x14ac:dyDescent="0.2">
      <c r="A960" s="278"/>
      <c r="B960" s="277" t="s">
        <v>432</v>
      </c>
      <c r="C960" s="180"/>
      <c r="D960" s="177">
        <v>40</v>
      </c>
      <c r="E960" s="177">
        <v>43</v>
      </c>
      <c r="F960" s="177">
        <v>47</v>
      </c>
      <c r="G960" s="177">
        <f t="shared" si="50"/>
        <v>48.410000000000004</v>
      </c>
      <c r="H960" s="129">
        <f t="shared" si="47"/>
        <v>178.41</v>
      </c>
      <c r="I960" s="177">
        <f t="shared" si="51"/>
        <v>49.862300000000005</v>
      </c>
      <c r="J960" s="177">
        <f t="shared" si="57"/>
        <v>51.358169000000004</v>
      </c>
      <c r="K960" s="177">
        <f t="shared" si="57"/>
        <v>52.898914070000004</v>
      </c>
      <c r="L960" s="177">
        <f t="shared" si="57"/>
        <v>54.485881492100006</v>
      </c>
      <c r="M960" s="129">
        <v>175</v>
      </c>
      <c r="N960" s="177">
        <f t="shared" si="53"/>
        <v>56.120457936863005</v>
      </c>
      <c r="O960" s="177">
        <f t="shared" si="58"/>
        <v>57.804071674968895</v>
      </c>
      <c r="P960" s="177">
        <f t="shared" si="58"/>
        <v>59.538193825217967</v>
      </c>
      <c r="Q960" s="177">
        <f t="shared" si="58"/>
        <v>61.324339639974504</v>
      </c>
      <c r="R960" s="129">
        <v>120</v>
      </c>
      <c r="S960" s="177">
        <f t="shared" si="55"/>
        <v>63.164069829173741</v>
      </c>
      <c r="T960" s="177">
        <f t="shared" si="56"/>
        <v>65.058991924048954</v>
      </c>
      <c r="U960" s="177">
        <f t="shared" si="56"/>
        <v>67.010761681770418</v>
      </c>
      <c r="V960" s="177">
        <f t="shared" si="56"/>
        <v>69.021084532223526</v>
      </c>
      <c r="W960" s="129">
        <f t="shared" si="49"/>
        <v>264.25490796721664</v>
      </c>
    </row>
    <row r="961" spans="1:23" s="119" customFormat="1" ht="12.75" x14ac:dyDescent="0.2">
      <c r="A961" s="278"/>
      <c r="B961" s="277" t="s">
        <v>476</v>
      </c>
      <c r="C961" s="180"/>
      <c r="D961" s="177">
        <v>0</v>
      </c>
      <c r="E961" s="177">
        <v>0</v>
      </c>
      <c r="F961" s="177">
        <v>30</v>
      </c>
      <c r="G961" s="177">
        <f t="shared" si="50"/>
        <v>30.900000000000002</v>
      </c>
      <c r="H961" s="129">
        <f t="shared" si="47"/>
        <v>60.900000000000006</v>
      </c>
      <c r="I961" s="177">
        <f t="shared" si="51"/>
        <v>31.827000000000002</v>
      </c>
      <c r="J961" s="177">
        <f t="shared" si="57"/>
        <v>32.78181</v>
      </c>
      <c r="K961" s="177">
        <f t="shared" si="57"/>
        <v>33.765264299999998</v>
      </c>
      <c r="L961" s="177">
        <f t="shared" si="57"/>
        <v>34.778222229000001</v>
      </c>
      <c r="M961" s="129">
        <v>0</v>
      </c>
      <c r="N961" s="177">
        <f t="shared" si="53"/>
        <v>35.821568895870001</v>
      </c>
      <c r="O961" s="177">
        <f t="shared" si="58"/>
        <v>36.896215962746105</v>
      </c>
      <c r="P961" s="177">
        <f t="shared" si="58"/>
        <v>38.003102441628492</v>
      </c>
      <c r="Q961" s="177">
        <f t="shared" si="58"/>
        <v>39.143195514877348</v>
      </c>
      <c r="R961" s="129">
        <v>0</v>
      </c>
      <c r="S961" s="177">
        <f t="shared" si="55"/>
        <v>40.317491380323666</v>
      </c>
      <c r="T961" s="177">
        <f t="shared" si="56"/>
        <v>41.527016121733375</v>
      </c>
      <c r="U961" s="177">
        <f t="shared" si="56"/>
        <v>42.772826605385376</v>
      </c>
      <c r="V961" s="177">
        <f t="shared" si="56"/>
        <v>44.05601140354694</v>
      </c>
      <c r="W961" s="129">
        <f t="shared" si="49"/>
        <v>168.67334551098935</v>
      </c>
    </row>
    <row r="962" spans="1:23" s="119" customFormat="1" ht="15" customHeight="1" x14ac:dyDescent="0.2">
      <c r="A962" s="278"/>
      <c r="B962" s="277" t="s">
        <v>481</v>
      </c>
      <c r="C962" s="180"/>
      <c r="D962" s="177">
        <v>65</v>
      </c>
      <c r="E962" s="177">
        <v>68</v>
      </c>
      <c r="F962" s="177">
        <v>72</v>
      </c>
      <c r="G962" s="177">
        <f t="shared" si="50"/>
        <v>74.16</v>
      </c>
      <c r="H962" s="129">
        <f t="shared" si="47"/>
        <v>279.15999999999997</v>
      </c>
      <c r="I962" s="177">
        <f t="shared" si="51"/>
        <v>76.384799999999998</v>
      </c>
      <c r="J962" s="177">
        <f t="shared" si="57"/>
        <v>78.676344</v>
      </c>
      <c r="K962" s="177">
        <f t="shared" si="57"/>
        <v>81.036634320000005</v>
      </c>
      <c r="L962" s="177">
        <f t="shared" si="57"/>
        <v>83.46773334960001</v>
      </c>
      <c r="M962" s="129">
        <v>363</v>
      </c>
      <c r="N962" s="177">
        <f t="shared" si="53"/>
        <v>85.971765350088006</v>
      </c>
      <c r="O962" s="177">
        <f t="shared" si="58"/>
        <v>88.550918310590646</v>
      </c>
      <c r="P962" s="177">
        <f t="shared" si="58"/>
        <v>91.207445859908361</v>
      </c>
      <c r="Q962" s="177">
        <f t="shared" si="58"/>
        <v>93.943669235705613</v>
      </c>
      <c r="R962" s="129">
        <v>436</v>
      </c>
      <c r="S962" s="177">
        <f t="shared" si="55"/>
        <v>96.761979312776788</v>
      </c>
      <c r="T962" s="177">
        <f t="shared" si="56"/>
        <v>99.664838692160089</v>
      </c>
      <c r="U962" s="177">
        <f t="shared" si="56"/>
        <v>102.65478385292489</v>
      </c>
      <c r="V962" s="177">
        <f t="shared" si="56"/>
        <v>105.73442736851264</v>
      </c>
      <c r="W962" s="129">
        <f t="shared" si="49"/>
        <v>404.81602922637438</v>
      </c>
    </row>
    <row r="963" spans="1:23" s="119" customFormat="1" ht="12.75" x14ac:dyDescent="0.2">
      <c r="A963" s="278"/>
      <c r="B963" s="277" t="s">
        <v>465</v>
      </c>
      <c r="C963" s="180"/>
      <c r="D963" s="177">
        <v>40</v>
      </c>
      <c r="E963" s="177">
        <v>0</v>
      </c>
      <c r="F963" s="177">
        <v>47</v>
      </c>
      <c r="G963" s="177">
        <f t="shared" si="50"/>
        <v>48.410000000000004</v>
      </c>
      <c r="H963" s="129">
        <f t="shared" si="47"/>
        <v>135.41</v>
      </c>
      <c r="I963" s="177">
        <f t="shared" si="51"/>
        <v>49.862300000000005</v>
      </c>
      <c r="J963" s="177">
        <f t="shared" si="57"/>
        <v>51.358169000000004</v>
      </c>
      <c r="K963" s="177">
        <f t="shared" si="57"/>
        <v>52.898914070000004</v>
      </c>
      <c r="L963" s="177">
        <f t="shared" si="57"/>
        <v>54.485881492100006</v>
      </c>
      <c r="M963" s="129">
        <v>228</v>
      </c>
      <c r="N963" s="177">
        <f t="shared" si="53"/>
        <v>56.120457936863005</v>
      </c>
      <c r="O963" s="177">
        <f t="shared" si="58"/>
        <v>57.804071674968895</v>
      </c>
      <c r="P963" s="177">
        <f t="shared" si="58"/>
        <v>59.538193825217967</v>
      </c>
      <c r="Q963" s="177">
        <f t="shared" si="58"/>
        <v>61.324339639974504</v>
      </c>
      <c r="R963" s="129">
        <v>276</v>
      </c>
      <c r="S963" s="177">
        <f t="shared" si="55"/>
        <v>63.164069829173741</v>
      </c>
      <c r="T963" s="177">
        <f t="shared" ref="T963:V968" si="59">S963*103%</f>
        <v>65.058991924048954</v>
      </c>
      <c r="U963" s="177">
        <f t="shared" si="59"/>
        <v>67.010761681770418</v>
      </c>
      <c r="V963" s="177">
        <f t="shared" si="59"/>
        <v>69.021084532223526</v>
      </c>
      <c r="W963" s="129">
        <f t="shared" si="49"/>
        <v>264.25490796721664</v>
      </c>
    </row>
    <row r="964" spans="1:23" s="119" customFormat="1" ht="12.75" x14ac:dyDescent="0.2">
      <c r="A964" s="278"/>
      <c r="B964" s="277" t="s">
        <v>471</v>
      </c>
      <c r="C964" s="180"/>
      <c r="D964" s="177">
        <v>0</v>
      </c>
      <c r="E964" s="177">
        <v>30</v>
      </c>
      <c r="F964" s="177">
        <v>32</v>
      </c>
      <c r="G964" s="177">
        <f t="shared" si="50"/>
        <v>32.96</v>
      </c>
      <c r="H964" s="129">
        <f t="shared" si="47"/>
        <v>94.960000000000008</v>
      </c>
      <c r="I964" s="177">
        <f t="shared" si="51"/>
        <v>33.948799999999999</v>
      </c>
      <c r="J964" s="177">
        <f t="shared" ref="J964:L968" si="60">I964*103%</f>
        <v>34.967264</v>
      </c>
      <c r="K964" s="177">
        <f t="shared" si="60"/>
        <v>36.016281920000004</v>
      </c>
      <c r="L964" s="177">
        <f t="shared" si="60"/>
        <v>37.096770377600002</v>
      </c>
      <c r="M964" s="129">
        <v>32</v>
      </c>
      <c r="N964" s="177">
        <f t="shared" si="53"/>
        <v>38.209673488928004</v>
      </c>
      <c r="O964" s="177">
        <f t="shared" ref="O964:Q968" si="61">N964*103%</f>
        <v>39.355963693595847</v>
      </c>
      <c r="P964" s="177">
        <f t="shared" si="61"/>
        <v>40.536642604403724</v>
      </c>
      <c r="Q964" s="177">
        <f t="shared" si="61"/>
        <v>41.752741882535837</v>
      </c>
      <c r="R964" s="129">
        <v>0</v>
      </c>
      <c r="S964" s="177">
        <f t="shared" si="55"/>
        <v>43.005324139011911</v>
      </c>
      <c r="T964" s="177">
        <f t="shared" si="59"/>
        <v>44.29548386318227</v>
      </c>
      <c r="U964" s="177">
        <f t="shared" si="59"/>
        <v>45.624348379077738</v>
      </c>
      <c r="V964" s="177">
        <f t="shared" si="59"/>
        <v>46.993078830450074</v>
      </c>
      <c r="W964" s="129">
        <f t="shared" si="49"/>
        <v>179.91823521172199</v>
      </c>
    </row>
    <row r="965" spans="1:23" s="119" customFormat="1" ht="12.75" x14ac:dyDescent="0.2">
      <c r="A965" s="278"/>
      <c r="B965" s="277" t="s">
        <v>442</v>
      </c>
      <c r="C965" s="180"/>
      <c r="D965" s="177">
        <v>65</v>
      </c>
      <c r="E965" s="177">
        <v>68</v>
      </c>
      <c r="F965" s="177">
        <v>72</v>
      </c>
      <c r="G965" s="177">
        <f t="shared" si="50"/>
        <v>74.16</v>
      </c>
      <c r="H965" s="129">
        <f t="shared" si="47"/>
        <v>279.15999999999997</v>
      </c>
      <c r="I965" s="177">
        <f t="shared" si="51"/>
        <v>76.384799999999998</v>
      </c>
      <c r="J965" s="177">
        <f t="shared" si="60"/>
        <v>78.676344</v>
      </c>
      <c r="K965" s="177">
        <f t="shared" si="60"/>
        <v>81.036634320000005</v>
      </c>
      <c r="L965" s="177">
        <f t="shared" si="60"/>
        <v>83.46773334960001</v>
      </c>
      <c r="M965" s="129">
        <v>363</v>
      </c>
      <c r="N965" s="177">
        <f t="shared" si="53"/>
        <v>85.971765350088006</v>
      </c>
      <c r="O965" s="177">
        <f t="shared" si="61"/>
        <v>88.550918310590646</v>
      </c>
      <c r="P965" s="177">
        <f t="shared" si="61"/>
        <v>91.207445859908361</v>
      </c>
      <c r="Q965" s="177">
        <f t="shared" si="61"/>
        <v>93.943669235705613</v>
      </c>
      <c r="R965" s="129">
        <v>436</v>
      </c>
      <c r="S965" s="177">
        <f t="shared" si="55"/>
        <v>96.761979312776788</v>
      </c>
      <c r="T965" s="177">
        <f t="shared" si="59"/>
        <v>99.664838692160089</v>
      </c>
      <c r="U965" s="177">
        <f t="shared" si="59"/>
        <v>102.65478385292489</v>
      </c>
      <c r="V965" s="177">
        <f t="shared" si="59"/>
        <v>105.73442736851264</v>
      </c>
      <c r="W965" s="129">
        <f t="shared" si="49"/>
        <v>404.81602922637438</v>
      </c>
    </row>
    <row r="966" spans="1:23" s="119" customFormat="1" ht="12.75" x14ac:dyDescent="0.2">
      <c r="A966" s="278"/>
      <c r="B966" s="277" t="s">
        <v>1041</v>
      </c>
      <c r="C966" s="180"/>
      <c r="D966" s="177">
        <v>130</v>
      </c>
      <c r="E966" s="177">
        <v>25</v>
      </c>
      <c r="F966" s="177">
        <v>25</v>
      </c>
      <c r="G966" s="177">
        <f t="shared" si="50"/>
        <v>25.75</v>
      </c>
      <c r="H966" s="129">
        <f t="shared" si="47"/>
        <v>205.75</v>
      </c>
      <c r="I966" s="177">
        <f t="shared" si="51"/>
        <v>26.522500000000001</v>
      </c>
      <c r="J966" s="177">
        <f t="shared" si="60"/>
        <v>27.318175</v>
      </c>
      <c r="K966" s="177">
        <f t="shared" si="60"/>
        <v>28.137720250000001</v>
      </c>
      <c r="L966" s="177">
        <f t="shared" si="60"/>
        <v>28.981851857500001</v>
      </c>
      <c r="M966" s="129">
        <v>135</v>
      </c>
      <c r="N966" s="177">
        <f t="shared" si="53"/>
        <v>29.851307413225001</v>
      </c>
      <c r="O966" s="177">
        <f t="shared" si="61"/>
        <v>30.74684663562175</v>
      </c>
      <c r="P966" s="177">
        <f t="shared" si="61"/>
        <v>31.669252034690405</v>
      </c>
      <c r="Q966" s="177">
        <f t="shared" si="61"/>
        <v>32.619329595731116</v>
      </c>
      <c r="R966" s="129">
        <v>160</v>
      </c>
      <c r="S966" s="177">
        <f t="shared" si="55"/>
        <v>33.597909483603054</v>
      </c>
      <c r="T966" s="177">
        <f t="shared" si="59"/>
        <v>34.605846768111149</v>
      </c>
      <c r="U966" s="177">
        <f t="shared" si="59"/>
        <v>35.644022171154482</v>
      </c>
      <c r="V966" s="177">
        <f t="shared" si="59"/>
        <v>36.713342836289115</v>
      </c>
      <c r="W966" s="129">
        <f t="shared" si="49"/>
        <v>140.5611212591578</v>
      </c>
    </row>
    <row r="967" spans="1:23" s="119" customFormat="1" ht="12.75" x14ac:dyDescent="0.2">
      <c r="A967" s="278"/>
      <c r="B967" s="277" t="s">
        <v>479</v>
      </c>
      <c r="C967" s="180"/>
      <c r="D967" s="177">
        <v>130</v>
      </c>
      <c r="E967" s="177">
        <v>25</v>
      </c>
      <c r="F967" s="177">
        <v>25</v>
      </c>
      <c r="G967" s="177">
        <f t="shared" si="50"/>
        <v>25.75</v>
      </c>
      <c r="H967" s="129">
        <f t="shared" si="47"/>
        <v>205.75</v>
      </c>
      <c r="I967" s="177">
        <f t="shared" si="51"/>
        <v>26.522500000000001</v>
      </c>
      <c r="J967" s="177">
        <f t="shared" si="60"/>
        <v>27.318175</v>
      </c>
      <c r="K967" s="177">
        <f t="shared" si="60"/>
        <v>28.137720250000001</v>
      </c>
      <c r="L967" s="177">
        <f t="shared" si="60"/>
        <v>28.981851857500001</v>
      </c>
      <c r="M967" s="129">
        <v>135</v>
      </c>
      <c r="N967" s="177">
        <f t="shared" si="53"/>
        <v>29.851307413225001</v>
      </c>
      <c r="O967" s="177">
        <f t="shared" si="61"/>
        <v>30.74684663562175</v>
      </c>
      <c r="P967" s="177">
        <f t="shared" si="61"/>
        <v>31.669252034690405</v>
      </c>
      <c r="Q967" s="177">
        <f t="shared" si="61"/>
        <v>32.619329595731116</v>
      </c>
      <c r="R967" s="129">
        <v>160</v>
      </c>
      <c r="S967" s="177">
        <f t="shared" si="55"/>
        <v>33.597909483603054</v>
      </c>
      <c r="T967" s="177">
        <f t="shared" si="59"/>
        <v>34.605846768111149</v>
      </c>
      <c r="U967" s="177">
        <f t="shared" si="59"/>
        <v>35.644022171154482</v>
      </c>
      <c r="V967" s="177">
        <f t="shared" si="59"/>
        <v>36.713342836289115</v>
      </c>
      <c r="W967" s="129">
        <f t="shared" si="49"/>
        <v>140.5611212591578</v>
      </c>
    </row>
    <row r="968" spans="1:23" s="119" customFormat="1" ht="12.75" x14ac:dyDescent="0.2">
      <c r="A968" s="278"/>
      <c r="B968" s="277" t="s">
        <v>451</v>
      </c>
      <c r="C968" s="180"/>
      <c r="D968" s="177">
        <v>130</v>
      </c>
      <c r="E968" s="177">
        <v>25</v>
      </c>
      <c r="F968" s="177">
        <v>25</v>
      </c>
      <c r="G968" s="177">
        <f t="shared" si="50"/>
        <v>25.75</v>
      </c>
      <c r="H968" s="129">
        <f t="shared" si="47"/>
        <v>205.75</v>
      </c>
      <c r="I968" s="177">
        <f t="shared" si="51"/>
        <v>26.522500000000001</v>
      </c>
      <c r="J968" s="177">
        <f t="shared" si="60"/>
        <v>27.318175</v>
      </c>
      <c r="K968" s="177">
        <f t="shared" si="60"/>
        <v>28.137720250000001</v>
      </c>
      <c r="L968" s="177">
        <f t="shared" si="60"/>
        <v>28.981851857500001</v>
      </c>
      <c r="M968" s="129">
        <v>135</v>
      </c>
      <c r="N968" s="177">
        <f t="shared" si="53"/>
        <v>29.851307413225001</v>
      </c>
      <c r="O968" s="177">
        <f t="shared" si="61"/>
        <v>30.74684663562175</v>
      </c>
      <c r="P968" s="177">
        <f t="shared" si="61"/>
        <v>31.669252034690405</v>
      </c>
      <c r="Q968" s="177">
        <f t="shared" si="61"/>
        <v>32.619329595731116</v>
      </c>
      <c r="R968" s="129">
        <v>160</v>
      </c>
      <c r="S968" s="177">
        <f t="shared" si="55"/>
        <v>33.597909483603054</v>
      </c>
      <c r="T968" s="177">
        <f t="shared" si="59"/>
        <v>34.605846768111149</v>
      </c>
      <c r="U968" s="177">
        <f t="shared" si="59"/>
        <v>35.644022171154482</v>
      </c>
      <c r="V968" s="177">
        <f t="shared" si="59"/>
        <v>36.713342836289115</v>
      </c>
      <c r="W968" s="129">
        <f t="shared" si="49"/>
        <v>140.5611212591578</v>
      </c>
    </row>
    <row r="969" spans="1:23" s="285" customFormat="1" ht="12.75" x14ac:dyDescent="0.2">
      <c r="A969" s="280"/>
      <c r="B969" s="281"/>
      <c r="C969" s="282"/>
      <c r="D969" s="282"/>
      <c r="E969" s="282"/>
      <c r="F969" s="282"/>
      <c r="G969" s="282"/>
      <c r="H969" s="283"/>
      <c r="I969" s="283"/>
      <c r="J969" s="282"/>
      <c r="K969" s="282"/>
      <c r="L969" s="282"/>
      <c r="M969" s="283"/>
      <c r="N969" s="282"/>
      <c r="O969" s="282"/>
      <c r="P969" s="282"/>
      <c r="Q969" s="282"/>
      <c r="R969" s="283"/>
      <c r="S969" s="282"/>
      <c r="T969" s="282"/>
      <c r="U969" s="282"/>
      <c r="V969" s="282"/>
      <c r="W969" s="284"/>
    </row>
    <row r="970" spans="1:23" s="290" customFormat="1" x14ac:dyDescent="0.2">
      <c r="A970" s="286"/>
      <c r="B970" s="287"/>
      <c r="C970" s="288"/>
      <c r="D970" s="87"/>
      <c r="E970" s="87"/>
      <c r="F970" s="87"/>
      <c r="G970" s="87"/>
      <c r="H970" s="289"/>
      <c r="I970" s="289"/>
      <c r="J970" s="87"/>
      <c r="K970" s="87"/>
      <c r="L970" s="87"/>
      <c r="M970" s="289"/>
      <c r="N970" s="87"/>
      <c r="O970" s="87"/>
      <c r="P970" s="87"/>
      <c r="Q970" s="87"/>
      <c r="R970" s="289"/>
      <c r="S970" s="87"/>
      <c r="T970" s="87"/>
      <c r="U970" s="87"/>
      <c r="V970" s="87"/>
      <c r="W970" s="289"/>
    </row>
    <row r="971" spans="1:23" s="290" customFormat="1" x14ac:dyDescent="0.2">
      <c r="A971" s="286"/>
      <c r="B971" s="287"/>
      <c r="C971" s="288"/>
      <c r="D971" s="87"/>
      <c r="E971" s="87"/>
      <c r="F971" s="87"/>
      <c r="G971" s="87"/>
      <c r="H971" s="289"/>
      <c r="I971" s="289"/>
      <c r="J971" s="87"/>
      <c r="K971" s="87"/>
      <c r="L971" s="87"/>
      <c r="M971" s="289"/>
      <c r="N971" s="87"/>
      <c r="O971" s="87"/>
      <c r="P971" s="87"/>
      <c r="Q971" s="87"/>
      <c r="R971" s="289"/>
      <c r="S971" s="87"/>
      <c r="T971" s="87"/>
      <c r="U971" s="87"/>
      <c r="V971" s="87"/>
      <c r="W971" s="289"/>
    </row>
    <row r="972" spans="1:23" s="290" customFormat="1" x14ac:dyDescent="0.2">
      <c r="A972" s="286"/>
      <c r="B972" s="287"/>
      <c r="C972" s="288"/>
      <c r="D972" s="87"/>
      <c r="E972" s="87"/>
      <c r="F972" s="87"/>
      <c r="G972" s="87"/>
      <c r="H972" s="289"/>
      <c r="I972" s="289"/>
      <c r="J972" s="87"/>
      <c r="K972" s="87"/>
      <c r="L972" s="87"/>
      <c r="M972" s="289"/>
      <c r="N972" s="87"/>
      <c r="O972" s="87"/>
      <c r="P972" s="87"/>
      <c r="Q972" s="87"/>
      <c r="R972" s="289"/>
      <c r="S972" s="87"/>
      <c r="T972" s="87"/>
      <c r="U972" s="87"/>
      <c r="V972" s="87"/>
      <c r="W972" s="289"/>
    </row>
    <row r="973" spans="1:23" s="290" customFormat="1" x14ac:dyDescent="0.2">
      <c r="A973" s="286"/>
      <c r="B973" s="287"/>
      <c r="C973" s="288"/>
      <c r="D973" s="87"/>
      <c r="E973" s="87"/>
      <c r="F973" s="87"/>
      <c r="G973" s="87"/>
      <c r="H973" s="289"/>
      <c r="I973" s="289"/>
      <c r="J973" s="87"/>
      <c r="K973" s="87"/>
      <c r="L973" s="87"/>
      <c r="M973" s="289"/>
      <c r="N973" s="87"/>
      <c r="O973" s="87"/>
      <c r="P973" s="87"/>
      <c r="Q973" s="87"/>
      <c r="R973" s="289"/>
      <c r="S973" s="87"/>
      <c r="T973" s="87"/>
      <c r="U973" s="87"/>
      <c r="V973" s="87"/>
      <c r="W973" s="289"/>
    </row>
    <row r="974" spans="1:23" s="290" customFormat="1" x14ac:dyDescent="0.2">
      <c r="A974" s="286"/>
      <c r="B974" s="287"/>
      <c r="C974" s="288"/>
      <c r="D974" s="87"/>
      <c r="E974" s="87"/>
      <c r="F974" s="87"/>
      <c r="G974" s="87"/>
      <c r="H974" s="289"/>
      <c r="I974" s="289"/>
      <c r="J974" s="87"/>
      <c r="K974" s="87"/>
      <c r="L974" s="87"/>
      <c r="M974" s="289"/>
      <c r="N974" s="87"/>
      <c r="O974" s="87"/>
      <c r="P974" s="87"/>
      <c r="Q974" s="87"/>
      <c r="R974" s="289"/>
      <c r="S974" s="87"/>
      <c r="T974" s="87"/>
      <c r="U974" s="87"/>
      <c r="V974" s="87"/>
      <c r="W974" s="289"/>
    </row>
    <row r="975" spans="1:23" s="290" customFormat="1" x14ac:dyDescent="0.2">
      <c r="A975" s="286"/>
      <c r="B975" s="287"/>
      <c r="C975" s="288"/>
      <c r="D975" s="87"/>
      <c r="E975" s="87"/>
      <c r="F975" s="87"/>
      <c r="G975" s="87"/>
      <c r="H975" s="289"/>
      <c r="I975" s="289"/>
      <c r="J975" s="87"/>
      <c r="K975" s="87"/>
      <c r="L975" s="87"/>
      <c r="M975" s="289"/>
      <c r="N975" s="87"/>
      <c r="O975" s="87"/>
      <c r="P975" s="87"/>
      <c r="Q975" s="87"/>
      <c r="R975" s="289"/>
      <c r="S975" s="87"/>
      <c r="T975" s="87"/>
      <c r="U975" s="87"/>
      <c r="V975" s="87"/>
      <c r="W975" s="289"/>
    </row>
    <row r="976" spans="1:23" s="290" customFormat="1" x14ac:dyDescent="0.2">
      <c r="A976" s="286"/>
      <c r="B976" s="287"/>
      <c r="C976" s="288"/>
      <c r="D976" s="87"/>
      <c r="E976" s="87"/>
      <c r="F976" s="87"/>
      <c r="G976" s="87"/>
      <c r="H976" s="289"/>
      <c r="I976" s="289"/>
      <c r="J976" s="87"/>
      <c r="K976" s="87"/>
      <c r="L976" s="87"/>
      <c r="M976" s="289"/>
      <c r="N976" s="87"/>
      <c r="O976" s="87"/>
      <c r="P976" s="87"/>
      <c r="Q976" s="87"/>
      <c r="R976" s="289"/>
      <c r="S976" s="87"/>
      <c r="T976" s="87"/>
      <c r="U976" s="87"/>
      <c r="V976" s="87"/>
      <c r="W976" s="289"/>
    </row>
    <row r="977" spans="1:23" s="290" customFormat="1" x14ac:dyDescent="0.2">
      <c r="A977" s="286"/>
      <c r="B977" s="287"/>
      <c r="C977" s="288"/>
      <c r="D977" s="87"/>
      <c r="E977" s="87"/>
      <c r="F977" s="87"/>
      <c r="G977" s="87"/>
      <c r="H977" s="289"/>
      <c r="I977" s="289"/>
      <c r="J977" s="87"/>
      <c r="K977" s="87"/>
      <c r="L977" s="87"/>
      <c r="M977" s="289"/>
      <c r="N977" s="87"/>
      <c r="O977" s="87"/>
      <c r="P977" s="87"/>
      <c r="Q977" s="87"/>
      <c r="R977" s="289"/>
      <c r="S977" s="87"/>
      <c r="T977" s="87"/>
      <c r="U977" s="87"/>
      <c r="V977" s="87"/>
      <c r="W977" s="289"/>
    </row>
    <row r="978" spans="1:23" s="290" customFormat="1" x14ac:dyDescent="0.2">
      <c r="A978" s="286"/>
      <c r="B978" s="287"/>
      <c r="C978" s="288"/>
      <c r="D978" s="87"/>
      <c r="E978" s="87"/>
      <c r="F978" s="87"/>
      <c r="G978" s="87"/>
      <c r="H978" s="289"/>
      <c r="I978" s="289"/>
      <c r="J978" s="87"/>
      <c r="K978" s="87"/>
      <c r="L978" s="87"/>
      <c r="M978" s="289"/>
      <c r="N978" s="87"/>
      <c r="O978" s="87"/>
      <c r="P978" s="87"/>
      <c r="Q978" s="87"/>
      <c r="R978" s="289"/>
      <c r="S978" s="87"/>
      <c r="T978" s="87"/>
      <c r="U978" s="87"/>
      <c r="V978" s="87"/>
      <c r="W978" s="289"/>
    </row>
    <row r="979" spans="1:23" s="290" customFormat="1" x14ac:dyDescent="0.2">
      <c r="A979" s="286"/>
      <c r="B979" s="287"/>
      <c r="C979" s="288"/>
      <c r="D979" s="87"/>
      <c r="E979" s="87"/>
      <c r="F979" s="87"/>
      <c r="G979" s="87"/>
      <c r="H979" s="289"/>
      <c r="I979" s="289"/>
      <c r="J979" s="87"/>
      <c r="K979" s="87"/>
      <c r="L979" s="87"/>
      <c r="M979" s="289"/>
      <c r="N979" s="87"/>
      <c r="O979" s="87"/>
      <c r="P979" s="87"/>
      <c r="Q979" s="87"/>
      <c r="R979" s="289"/>
      <c r="S979" s="87"/>
      <c r="T979" s="87"/>
      <c r="U979" s="87"/>
      <c r="V979" s="87"/>
      <c r="W979" s="289"/>
    </row>
    <row r="980" spans="1:23" s="290" customFormat="1" x14ac:dyDescent="0.2">
      <c r="A980" s="286"/>
      <c r="B980" s="287"/>
      <c r="C980" s="288"/>
      <c r="D980" s="87"/>
      <c r="E980" s="87"/>
      <c r="F980" s="87"/>
      <c r="G980" s="87"/>
      <c r="H980" s="289"/>
      <c r="I980" s="289"/>
      <c r="J980" s="87"/>
      <c r="K980" s="87"/>
      <c r="L980" s="87"/>
      <c r="M980" s="289"/>
      <c r="N980" s="87"/>
      <c r="O980" s="87"/>
      <c r="P980" s="87"/>
      <c r="Q980" s="87"/>
      <c r="R980" s="289"/>
      <c r="S980" s="87"/>
      <c r="T980" s="87"/>
      <c r="U980" s="87"/>
      <c r="V980" s="87"/>
      <c r="W980" s="289"/>
    </row>
    <row r="981" spans="1:23" s="290" customFormat="1" x14ac:dyDescent="0.2">
      <c r="A981" s="286"/>
      <c r="B981" s="287"/>
      <c r="C981" s="288"/>
      <c r="D981" s="87"/>
      <c r="E981" s="87"/>
      <c r="F981" s="87"/>
      <c r="G981" s="87"/>
      <c r="H981" s="289"/>
      <c r="I981" s="289"/>
      <c r="J981" s="87"/>
      <c r="K981" s="87"/>
      <c r="L981" s="87"/>
      <c r="M981" s="289"/>
      <c r="N981" s="87"/>
      <c r="O981" s="87"/>
      <c r="P981" s="87"/>
      <c r="Q981" s="87"/>
      <c r="R981" s="289"/>
      <c r="S981" s="87"/>
      <c r="T981" s="87"/>
      <c r="U981" s="87"/>
      <c r="V981" s="87"/>
      <c r="W981" s="289"/>
    </row>
    <row r="982" spans="1:23" s="290" customFormat="1" x14ac:dyDescent="0.2">
      <c r="A982" s="286"/>
      <c r="B982" s="287"/>
      <c r="C982" s="288"/>
      <c r="D982" s="87"/>
      <c r="E982" s="87"/>
      <c r="F982" s="87"/>
      <c r="G982" s="87"/>
      <c r="H982" s="289"/>
      <c r="I982" s="289"/>
      <c r="J982" s="87"/>
      <c r="K982" s="87"/>
      <c r="L982" s="87"/>
      <c r="M982" s="289"/>
      <c r="N982" s="87"/>
      <c r="O982" s="87"/>
      <c r="P982" s="87"/>
      <c r="Q982" s="87"/>
      <c r="R982" s="289"/>
      <c r="S982" s="87"/>
      <c r="T982" s="87"/>
      <c r="U982" s="87"/>
      <c r="V982" s="87"/>
      <c r="W982" s="289"/>
    </row>
    <row r="983" spans="1:23" s="290" customFormat="1" x14ac:dyDescent="0.2">
      <c r="A983" s="286"/>
      <c r="B983" s="287"/>
      <c r="C983" s="288"/>
      <c r="D983" s="87"/>
      <c r="E983" s="87"/>
      <c r="F983" s="87"/>
      <c r="G983" s="87"/>
      <c r="H983" s="289"/>
      <c r="I983" s="289"/>
      <c r="J983" s="87"/>
      <c r="K983" s="87"/>
      <c r="L983" s="87"/>
      <c r="M983" s="289"/>
      <c r="N983" s="87"/>
      <c r="O983" s="87"/>
      <c r="P983" s="87"/>
      <c r="Q983" s="87"/>
      <c r="R983" s="289"/>
      <c r="S983" s="87"/>
      <c r="T983" s="87"/>
      <c r="U983" s="87"/>
      <c r="V983" s="87"/>
      <c r="W983" s="289"/>
    </row>
    <row r="984" spans="1:23" s="290" customFormat="1" x14ac:dyDescent="0.2">
      <c r="A984" s="286"/>
      <c r="B984" s="287"/>
      <c r="C984" s="288"/>
      <c r="D984" s="87"/>
      <c r="E984" s="87"/>
      <c r="F984" s="87"/>
      <c r="G984" s="87"/>
      <c r="H984" s="289"/>
      <c r="I984" s="289"/>
      <c r="J984" s="87"/>
      <c r="K984" s="87"/>
      <c r="L984" s="87"/>
      <c r="M984" s="289"/>
      <c r="N984" s="87"/>
      <c r="O984" s="87"/>
      <c r="P984" s="87"/>
      <c r="Q984" s="87"/>
      <c r="R984" s="289"/>
      <c r="S984" s="87"/>
      <c r="T984" s="87"/>
      <c r="U984" s="87"/>
      <c r="V984" s="87"/>
      <c r="W984" s="289"/>
    </row>
    <row r="985" spans="1:23" s="290" customFormat="1" x14ac:dyDescent="0.2">
      <c r="A985" s="286"/>
      <c r="B985" s="287"/>
      <c r="C985" s="288"/>
      <c r="D985" s="87"/>
      <c r="E985" s="87"/>
      <c r="F985" s="87"/>
      <c r="G985" s="87"/>
      <c r="H985" s="289"/>
      <c r="I985" s="289"/>
      <c r="J985" s="87"/>
      <c r="K985" s="87"/>
      <c r="L985" s="87"/>
      <c r="M985" s="289"/>
      <c r="N985" s="87"/>
      <c r="O985" s="87"/>
      <c r="P985" s="87"/>
      <c r="Q985" s="87"/>
      <c r="R985" s="289"/>
      <c r="S985" s="87"/>
      <c r="T985" s="87"/>
      <c r="U985" s="87"/>
      <c r="V985" s="87"/>
      <c r="W985" s="289"/>
    </row>
    <row r="986" spans="1:23" s="290" customFormat="1" x14ac:dyDescent="0.2">
      <c r="A986" s="286"/>
      <c r="B986" s="287"/>
      <c r="C986" s="288"/>
      <c r="D986" s="87"/>
      <c r="E986" s="87"/>
      <c r="F986" s="87"/>
      <c r="G986" s="87"/>
      <c r="H986" s="289"/>
      <c r="I986" s="289"/>
      <c r="J986" s="87"/>
      <c r="K986" s="87"/>
      <c r="L986" s="87"/>
      <c r="M986" s="289"/>
      <c r="N986" s="87"/>
      <c r="O986" s="87"/>
      <c r="P986" s="87"/>
      <c r="Q986" s="87"/>
      <c r="R986" s="289"/>
      <c r="S986" s="87"/>
      <c r="T986" s="87"/>
      <c r="U986" s="87"/>
      <c r="V986" s="87"/>
      <c r="W986" s="289"/>
    </row>
    <row r="987" spans="1:23" s="290" customFormat="1" x14ac:dyDescent="0.2">
      <c r="A987" s="286"/>
      <c r="B987" s="287"/>
      <c r="C987" s="288"/>
      <c r="D987" s="87"/>
      <c r="E987" s="87"/>
      <c r="F987" s="87"/>
      <c r="G987" s="87"/>
      <c r="H987" s="289"/>
      <c r="I987" s="289"/>
      <c r="J987" s="87"/>
      <c r="K987" s="87"/>
      <c r="L987" s="87"/>
      <c r="M987" s="289"/>
      <c r="N987" s="87"/>
      <c r="O987" s="87"/>
      <c r="P987" s="87"/>
      <c r="Q987" s="87"/>
      <c r="R987" s="289"/>
      <c r="S987" s="87"/>
      <c r="T987" s="87"/>
      <c r="U987" s="87"/>
      <c r="V987" s="87"/>
      <c r="W987" s="289"/>
    </row>
    <row r="988" spans="1:23" s="290" customFormat="1" x14ac:dyDescent="0.2">
      <c r="A988" s="286"/>
      <c r="B988" s="287"/>
      <c r="C988" s="288"/>
      <c r="D988" s="87"/>
      <c r="E988" s="87"/>
      <c r="F988" s="87"/>
      <c r="G988" s="87"/>
      <c r="H988" s="289"/>
      <c r="I988" s="289"/>
      <c r="J988" s="87"/>
      <c r="K988" s="87"/>
      <c r="L988" s="87"/>
      <c r="M988" s="289"/>
      <c r="N988" s="87"/>
      <c r="O988" s="87"/>
      <c r="P988" s="87"/>
      <c r="Q988" s="87"/>
      <c r="R988" s="289"/>
      <c r="S988" s="87"/>
      <c r="T988" s="87"/>
      <c r="U988" s="87"/>
      <c r="V988" s="87"/>
      <c r="W988" s="289"/>
    </row>
    <row r="989" spans="1:23" s="290" customFormat="1" x14ac:dyDescent="0.2">
      <c r="A989" s="286"/>
      <c r="B989" s="287"/>
      <c r="C989" s="288"/>
      <c r="D989" s="87"/>
      <c r="E989" s="87"/>
      <c r="F989" s="87"/>
      <c r="G989" s="87"/>
      <c r="H989" s="289"/>
      <c r="I989" s="289"/>
      <c r="J989" s="87"/>
      <c r="K989" s="87"/>
      <c r="L989" s="87"/>
      <c r="M989" s="289"/>
      <c r="N989" s="87"/>
      <c r="O989" s="87"/>
      <c r="P989" s="87"/>
      <c r="Q989" s="87"/>
      <c r="R989" s="289"/>
      <c r="S989" s="87"/>
      <c r="T989" s="87"/>
      <c r="U989" s="87"/>
      <c r="V989" s="87"/>
      <c r="W989" s="289"/>
    </row>
    <row r="990" spans="1:23" s="290" customFormat="1" x14ac:dyDescent="0.2">
      <c r="A990" s="286"/>
      <c r="B990" s="287"/>
      <c r="C990" s="288"/>
      <c r="D990" s="87"/>
      <c r="E990" s="87"/>
      <c r="F990" s="87"/>
      <c r="G990" s="87"/>
      <c r="H990" s="289"/>
      <c r="I990" s="289"/>
      <c r="J990" s="87"/>
      <c r="K990" s="87"/>
      <c r="L990" s="87"/>
      <c r="M990" s="289"/>
      <c r="N990" s="87"/>
      <c r="O990" s="87"/>
      <c r="P990" s="87"/>
      <c r="Q990" s="87"/>
      <c r="R990" s="289"/>
      <c r="S990" s="87"/>
      <c r="T990" s="87"/>
      <c r="U990" s="87"/>
      <c r="V990" s="87"/>
      <c r="W990" s="289"/>
    </row>
    <row r="991" spans="1:23" s="290" customFormat="1" x14ac:dyDescent="0.2">
      <c r="A991" s="286"/>
      <c r="B991" s="287"/>
      <c r="C991" s="288"/>
      <c r="D991" s="87"/>
      <c r="E991" s="87"/>
      <c r="F991" s="87"/>
      <c r="G991" s="87"/>
      <c r="H991" s="289"/>
      <c r="I991" s="289"/>
      <c r="J991" s="87"/>
      <c r="K991" s="87"/>
      <c r="L991" s="87"/>
      <c r="M991" s="289"/>
      <c r="N991" s="87"/>
      <c r="O991" s="87"/>
      <c r="P991" s="87"/>
      <c r="Q991" s="87"/>
      <c r="R991" s="289"/>
      <c r="S991" s="87"/>
      <c r="T991" s="87"/>
      <c r="U991" s="87"/>
      <c r="V991" s="87"/>
      <c r="W991" s="289"/>
    </row>
    <row r="992" spans="1:23" s="290" customFormat="1" x14ac:dyDescent="0.2">
      <c r="A992" s="286"/>
      <c r="B992" s="287"/>
      <c r="C992" s="288"/>
      <c r="D992" s="87"/>
      <c r="E992" s="87"/>
      <c r="F992" s="87"/>
      <c r="G992" s="87"/>
      <c r="H992" s="289"/>
      <c r="I992" s="289"/>
      <c r="J992" s="87"/>
      <c r="K992" s="87"/>
      <c r="L992" s="87"/>
      <c r="M992" s="289"/>
      <c r="N992" s="87"/>
      <c r="O992" s="87"/>
      <c r="P992" s="87"/>
      <c r="Q992" s="87"/>
      <c r="R992" s="289"/>
      <c r="S992" s="87"/>
      <c r="T992" s="87"/>
      <c r="U992" s="87"/>
      <c r="V992" s="87"/>
      <c r="W992" s="289"/>
    </row>
    <row r="993" spans="1:23" s="290" customFormat="1" x14ac:dyDescent="0.2">
      <c r="A993" s="286"/>
      <c r="B993" s="287"/>
      <c r="C993" s="288"/>
      <c r="D993" s="87"/>
      <c r="E993" s="87"/>
      <c r="F993" s="87"/>
      <c r="G993" s="87"/>
      <c r="H993" s="289"/>
      <c r="I993" s="289"/>
      <c r="J993" s="87"/>
      <c r="K993" s="87"/>
      <c r="L993" s="87"/>
      <c r="M993" s="289"/>
      <c r="N993" s="87"/>
      <c r="O993" s="87"/>
      <c r="P993" s="87"/>
      <c r="Q993" s="87"/>
      <c r="R993" s="289"/>
      <c r="S993" s="87"/>
      <c r="T993" s="87"/>
      <c r="U993" s="87"/>
      <c r="V993" s="87"/>
      <c r="W993" s="289"/>
    </row>
    <row r="994" spans="1:23" s="290" customFormat="1" x14ac:dyDescent="0.2">
      <c r="A994" s="286"/>
      <c r="B994" s="287"/>
      <c r="C994" s="288"/>
      <c r="D994" s="87"/>
      <c r="E994" s="87"/>
      <c r="F994" s="87"/>
      <c r="G994" s="87"/>
      <c r="H994" s="289"/>
      <c r="I994" s="289"/>
      <c r="J994" s="87"/>
      <c r="K994" s="87"/>
      <c r="L994" s="87"/>
      <c r="M994" s="289"/>
      <c r="N994" s="87"/>
      <c r="O994" s="87"/>
      <c r="P994" s="87"/>
      <c r="Q994" s="87"/>
      <c r="R994" s="289"/>
      <c r="S994" s="87"/>
      <c r="T994" s="87"/>
      <c r="U994" s="87"/>
      <c r="V994" s="87"/>
      <c r="W994" s="289"/>
    </row>
    <row r="995" spans="1:23" s="290" customFormat="1" x14ac:dyDescent="0.2">
      <c r="A995" s="286"/>
      <c r="B995" s="287"/>
      <c r="C995" s="288"/>
      <c r="D995" s="87"/>
      <c r="E995" s="87"/>
      <c r="F995" s="87"/>
      <c r="G995" s="87"/>
      <c r="H995" s="289"/>
      <c r="I995" s="289"/>
      <c r="J995" s="87"/>
      <c r="K995" s="87"/>
      <c r="L995" s="87"/>
      <c r="M995" s="289"/>
      <c r="N995" s="87"/>
      <c r="O995" s="87"/>
      <c r="P995" s="87"/>
      <c r="Q995" s="87"/>
      <c r="R995" s="289"/>
      <c r="S995" s="87"/>
      <c r="T995" s="87"/>
      <c r="U995" s="87"/>
      <c r="V995" s="87"/>
      <c r="W995" s="289"/>
    </row>
    <row r="996" spans="1:23" s="290" customFormat="1" x14ac:dyDescent="0.2">
      <c r="A996" s="286"/>
      <c r="B996" s="287"/>
      <c r="C996" s="288"/>
      <c r="D996" s="87"/>
      <c r="E996" s="87"/>
      <c r="F996" s="87"/>
      <c r="G996" s="87"/>
      <c r="H996" s="289"/>
      <c r="I996" s="289"/>
      <c r="J996" s="87"/>
      <c r="K996" s="87"/>
      <c r="L996" s="87"/>
      <c r="M996" s="289"/>
      <c r="N996" s="87"/>
      <c r="O996" s="87"/>
      <c r="P996" s="87"/>
      <c r="Q996" s="87"/>
      <c r="R996" s="289"/>
      <c r="S996" s="87"/>
      <c r="T996" s="87"/>
      <c r="U996" s="87"/>
      <c r="V996" s="87"/>
      <c r="W996" s="289"/>
    </row>
    <row r="997" spans="1:23" s="290" customFormat="1" x14ac:dyDescent="0.2">
      <c r="A997" s="286"/>
      <c r="B997" s="287"/>
      <c r="C997" s="288"/>
      <c r="D997" s="87"/>
      <c r="E997" s="87"/>
      <c r="F997" s="87"/>
      <c r="G997" s="87"/>
      <c r="H997" s="289"/>
      <c r="I997" s="289"/>
      <c r="J997" s="87"/>
      <c r="K997" s="87"/>
      <c r="L997" s="87"/>
      <c r="M997" s="289"/>
      <c r="N997" s="87"/>
      <c r="O997" s="87"/>
      <c r="P997" s="87"/>
      <c r="Q997" s="87"/>
      <c r="R997" s="289"/>
      <c r="S997" s="87"/>
      <c r="T997" s="87"/>
      <c r="U997" s="87"/>
      <c r="V997" s="87"/>
      <c r="W997" s="289"/>
    </row>
    <row r="998" spans="1:23" s="290" customFormat="1" x14ac:dyDescent="0.2">
      <c r="A998" s="286"/>
      <c r="B998" s="287"/>
      <c r="C998" s="288"/>
      <c r="D998" s="87"/>
      <c r="E998" s="87"/>
      <c r="F998" s="87"/>
      <c r="G998" s="87"/>
      <c r="H998" s="289"/>
      <c r="I998" s="289"/>
      <c r="J998" s="87"/>
      <c r="K998" s="87"/>
      <c r="L998" s="87"/>
      <c r="M998" s="289"/>
      <c r="N998" s="87"/>
      <c r="O998" s="87"/>
      <c r="P998" s="87"/>
      <c r="Q998" s="87"/>
      <c r="R998" s="289"/>
      <c r="S998" s="87"/>
      <c r="T998" s="87"/>
      <c r="U998" s="87"/>
      <c r="V998" s="87"/>
      <c r="W998" s="289"/>
    </row>
    <row r="999" spans="1:23" s="290" customFormat="1" x14ac:dyDescent="0.2">
      <c r="A999" s="286"/>
      <c r="B999" s="287"/>
      <c r="C999" s="288"/>
      <c r="D999" s="87"/>
      <c r="E999" s="87"/>
      <c r="F999" s="87"/>
      <c r="G999" s="87"/>
      <c r="H999" s="289"/>
      <c r="I999" s="289"/>
      <c r="J999" s="87"/>
      <c r="K999" s="87"/>
      <c r="L999" s="87"/>
      <c r="M999" s="289"/>
      <c r="N999" s="87"/>
      <c r="O999" s="87"/>
      <c r="P999" s="87"/>
      <c r="Q999" s="87"/>
      <c r="R999" s="289"/>
      <c r="S999" s="87"/>
      <c r="T999" s="87"/>
      <c r="U999" s="87"/>
      <c r="V999" s="87"/>
      <c r="W999" s="289"/>
    </row>
    <row r="1000" spans="1:23" s="290" customFormat="1" x14ac:dyDescent="0.2">
      <c r="A1000" s="286"/>
      <c r="B1000" s="287"/>
      <c r="C1000" s="288"/>
      <c r="D1000" s="87"/>
      <c r="E1000" s="87"/>
      <c r="F1000" s="87"/>
      <c r="G1000" s="87"/>
      <c r="H1000" s="289"/>
      <c r="I1000" s="289"/>
      <c r="J1000" s="87"/>
      <c r="K1000" s="87"/>
      <c r="L1000" s="87"/>
      <c r="M1000" s="289"/>
      <c r="N1000" s="87"/>
      <c r="O1000" s="87"/>
      <c r="P1000" s="87"/>
      <c r="Q1000" s="87"/>
      <c r="R1000" s="289"/>
      <c r="S1000" s="87"/>
      <c r="T1000" s="87"/>
      <c r="U1000" s="87"/>
      <c r="V1000" s="87"/>
      <c r="W1000" s="289"/>
    </row>
    <row r="1001" spans="1:23" s="290" customFormat="1" x14ac:dyDescent="0.2">
      <c r="A1001" s="286"/>
      <c r="B1001" s="287"/>
      <c r="C1001" s="288"/>
      <c r="D1001" s="87"/>
      <c r="E1001" s="87"/>
      <c r="F1001" s="87"/>
      <c r="G1001" s="87"/>
      <c r="H1001" s="289"/>
      <c r="I1001" s="289"/>
      <c r="J1001" s="87"/>
      <c r="K1001" s="87"/>
      <c r="L1001" s="87"/>
      <c r="M1001" s="289"/>
      <c r="N1001" s="87"/>
      <c r="O1001" s="87"/>
      <c r="P1001" s="87"/>
      <c r="Q1001" s="87"/>
      <c r="R1001" s="289"/>
      <c r="S1001" s="87"/>
      <c r="T1001" s="87"/>
      <c r="U1001" s="87"/>
      <c r="V1001" s="87"/>
      <c r="W1001" s="289"/>
    </row>
    <row r="1002" spans="1:23" s="290" customFormat="1" x14ac:dyDescent="0.2">
      <c r="A1002" s="286"/>
      <c r="B1002" s="287"/>
      <c r="C1002" s="288"/>
      <c r="D1002" s="87"/>
      <c r="E1002" s="87"/>
      <c r="F1002" s="87"/>
      <c r="G1002" s="87"/>
      <c r="H1002" s="289"/>
      <c r="I1002" s="289"/>
      <c r="J1002" s="87"/>
      <c r="K1002" s="87"/>
      <c r="L1002" s="87"/>
      <c r="M1002" s="289"/>
      <c r="N1002" s="87"/>
      <c r="O1002" s="87"/>
      <c r="P1002" s="87"/>
      <c r="Q1002" s="87"/>
      <c r="R1002" s="289"/>
      <c r="S1002" s="87"/>
      <c r="T1002" s="87"/>
      <c r="U1002" s="87"/>
      <c r="V1002" s="87"/>
      <c r="W1002" s="289"/>
    </row>
    <row r="1003" spans="1:23" s="290" customFormat="1" x14ac:dyDescent="0.2">
      <c r="A1003" s="286"/>
      <c r="B1003" s="287"/>
      <c r="C1003" s="288"/>
      <c r="D1003" s="87"/>
      <c r="E1003" s="87"/>
      <c r="F1003" s="87"/>
      <c r="G1003" s="87"/>
      <c r="H1003" s="289"/>
      <c r="I1003" s="289"/>
      <c r="J1003" s="87"/>
      <c r="K1003" s="87"/>
      <c r="L1003" s="87"/>
      <c r="M1003" s="289"/>
      <c r="N1003" s="87"/>
      <c r="O1003" s="87"/>
      <c r="P1003" s="87"/>
      <c r="Q1003" s="87"/>
      <c r="R1003" s="289"/>
      <c r="S1003" s="87"/>
      <c r="T1003" s="87"/>
      <c r="U1003" s="87"/>
      <c r="V1003" s="87"/>
      <c r="W1003" s="289"/>
    </row>
    <row r="1004" spans="1:23" s="290" customFormat="1" x14ac:dyDescent="0.2">
      <c r="A1004" s="286"/>
      <c r="B1004" s="287"/>
      <c r="C1004" s="288"/>
      <c r="D1004" s="87"/>
      <c r="E1004" s="87"/>
      <c r="F1004" s="87"/>
      <c r="G1004" s="87"/>
      <c r="H1004" s="289"/>
      <c r="I1004" s="289"/>
      <c r="J1004" s="87"/>
      <c r="K1004" s="87"/>
      <c r="L1004" s="87"/>
      <c r="M1004" s="289"/>
      <c r="N1004" s="87"/>
      <c r="O1004" s="87"/>
      <c r="P1004" s="87"/>
      <c r="Q1004" s="87"/>
      <c r="R1004" s="289"/>
      <c r="S1004" s="87"/>
      <c r="T1004" s="87"/>
      <c r="U1004" s="87"/>
      <c r="V1004" s="87"/>
      <c r="W1004" s="289"/>
    </row>
    <row r="1005" spans="1:23" s="290" customFormat="1" x14ac:dyDescent="0.2">
      <c r="A1005" s="286"/>
      <c r="B1005" s="287"/>
      <c r="C1005" s="288"/>
      <c r="D1005" s="87"/>
      <c r="E1005" s="87"/>
      <c r="F1005" s="87"/>
      <c r="G1005" s="87"/>
      <c r="H1005" s="289"/>
      <c r="I1005" s="289"/>
      <c r="J1005" s="87"/>
      <c r="K1005" s="87"/>
      <c r="L1005" s="87"/>
      <c r="M1005" s="289"/>
      <c r="N1005" s="87"/>
      <c r="O1005" s="87"/>
      <c r="P1005" s="87"/>
      <c r="Q1005" s="87"/>
      <c r="R1005" s="289"/>
      <c r="S1005" s="87"/>
      <c r="T1005" s="87"/>
      <c r="U1005" s="87"/>
      <c r="V1005" s="87"/>
      <c r="W1005" s="289"/>
    </row>
    <row r="1006" spans="1:23" s="290" customFormat="1" x14ac:dyDescent="0.2">
      <c r="A1006" s="286"/>
      <c r="B1006" s="287"/>
      <c r="C1006" s="288"/>
      <c r="D1006" s="87"/>
      <c r="E1006" s="87"/>
      <c r="F1006" s="87"/>
      <c r="G1006" s="87"/>
      <c r="H1006" s="289"/>
      <c r="I1006" s="289"/>
      <c r="J1006" s="87"/>
      <c r="K1006" s="87"/>
      <c r="L1006" s="87"/>
      <c r="M1006" s="289"/>
      <c r="N1006" s="87"/>
      <c r="O1006" s="87"/>
      <c r="P1006" s="87"/>
      <c r="Q1006" s="87"/>
      <c r="R1006" s="289"/>
      <c r="S1006" s="87"/>
      <c r="T1006" s="87"/>
      <c r="U1006" s="87"/>
      <c r="V1006" s="87"/>
      <c r="W1006" s="289"/>
    </row>
    <row r="1007" spans="1:23" s="290" customFormat="1" x14ac:dyDescent="0.2">
      <c r="A1007" s="286"/>
      <c r="B1007" s="287"/>
      <c r="C1007" s="288"/>
      <c r="D1007" s="87"/>
      <c r="E1007" s="87"/>
      <c r="F1007" s="87"/>
      <c r="G1007" s="87"/>
      <c r="H1007" s="289"/>
      <c r="I1007" s="289"/>
      <c r="J1007" s="87"/>
      <c r="K1007" s="87"/>
      <c r="L1007" s="87"/>
      <c r="M1007" s="289"/>
      <c r="N1007" s="87"/>
      <c r="O1007" s="87"/>
      <c r="P1007" s="87"/>
      <c r="Q1007" s="87"/>
      <c r="R1007" s="289"/>
      <c r="S1007" s="87"/>
      <c r="T1007" s="87"/>
      <c r="U1007" s="87"/>
      <c r="V1007" s="87"/>
      <c r="W1007" s="289"/>
    </row>
    <row r="1008" spans="1:23" s="290" customFormat="1" x14ac:dyDescent="0.2">
      <c r="A1008" s="286"/>
      <c r="B1008" s="287"/>
      <c r="C1008" s="288"/>
      <c r="D1008" s="87"/>
      <c r="E1008" s="87"/>
      <c r="F1008" s="87"/>
      <c r="G1008" s="87"/>
      <c r="H1008" s="289"/>
      <c r="I1008" s="289"/>
      <c r="J1008" s="87"/>
      <c r="K1008" s="87"/>
      <c r="L1008" s="87"/>
      <c r="M1008" s="289"/>
      <c r="N1008" s="87"/>
      <c r="O1008" s="87"/>
      <c r="P1008" s="87"/>
      <c r="Q1008" s="87"/>
      <c r="R1008" s="289"/>
      <c r="S1008" s="87"/>
      <c r="T1008" s="87"/>
      <c r="U1008" s="87"/>
      <c r="V1008" s="87"/>
      <c r="W1008" s="289"/>
    </row>
    <row r="1009" spans="1:23" s="290" customFormat="1" x14ac:dyDescent="0.2">
      <c r="A1009" s="286"/>
      <c r="B1009" s="287"/>
      <c r="C1009" s="288"/>
      <c r="D1009" s="87"/>
      <c r="E1009" s="87"/>
      <c r="F1009" s="87"/>
      <c r="G1009" s="87"/>
      <c r="H1009" s="289"/>
      <c r="I1009" s="289"/>
      <c r="J1009" s="87"/>
      <c r="K1009" s="87"/>
      <c r="L1009" s="87"/>
      <c r="M1009" s="289"/>
      <c r="N1009" s="87"/>
      <c r="O1009" s="87"/>
      <c r="P1009" s="87"/>
      <c r="Q1009" s="87"/>
      <c r="R1009" s="289"/>
      <c r="S1009" s="87"/>
      <c r="T1009" s="87"/>
      <c r="U1009" s="87"/>
      <c r="V1009" s="87"/>
      <c r="W1009" s="289"/>
    </row>
    <row r="1010" spans="1:23" s="290" customFormat="1" x14ac:dyDescent="0.2">
      <c r="A1010" s="286"/>
      <c r="B1010" s="287"/>
      <c r="C1010" s="288"/>
      <c r="D1010" s="87"/>
      <c r="E1010" s="87"/>
      <c r="F1010" s="87"/>
      <c r="G1010" s="87"/>
      <c r="H1010" s="289"/>
      <c r="I1010" s="289"/>
      <c r="J1010" s="87"/>
      <c r="K1010" s="87"/>
      <c r="L1010" s="87"/>
      <c r="M1010" s="289"/>
      <c r="N1010" s="87"/>
      <c r="O1010" s="87"/>
      <c r="P1010" s="87"/>
      <c r="Q1010" s="87"/>
      <c r="R1010" s="289"/>
      <c r="S1010" s="87"/>
      <c r="T1010" s="87"/>
      <c r="U1010" s="87"/>
      <c r="V1010" s="87"/>
      <c r="W1010" s="289"/>
    </row>
    <row r="1011" spans="1:23" s="290" customFormat="1" x14ac:dyDescent="0.2">
      <c r="A1011" s="286"/>
      <c r="B1011" s="287"/>
      <c r="C1011" s="288"/>
      <c r="D1011" s="87"/>
      <c r="E1011" s="87"/>
      <c r="F1011" s="87"/>
      <c r="G1011" s="87"/>
      <c r="H1011" s="289"/>
      <c r="I1011" s="289"/>
      <c r="J1011" s="87"/>
      <c r="K1011" s="87"/>
      <c r="L1011" s="87"/>
      <c r="M1011" s="289"/>
      <c r="N1011" s="87"/>
      <c r="O1011" s="87"/>
      <c r="P1011" s="87"/>
      <c r="Q1011" s="87"/>
      <c r="R1011" s="289"/>
      <c r="S1011" s="87"/>
      <c r="T1011" s="87"/>
      <c r="U1011" s="87"/>
      <c r="V1011" s="87"/>
      <c r="W1011" s="289"/>
    </row>
    <row r="1012" spans="1:23" s="290" customFormat="1" x14ac:dyDescent="0.2">
      <c r="A1012" s="286"/>
      <c r="B1012" s="287"/>
      <c r="C1012" s="288"/>
      <c r="D1012" s="87"/>
      <c r="E1012" s="87"/>
      <c r="F1012" s="87"/>
      <c r="G1012" s="87"/>
      <c r="H1012" s="289"/>
      <c r="I1012" s="289"/>
      <c r="J1012" s="87"/>
      <c r="K1012" s="87"/>
      <c r="L1012" s="87"/>
      <c r="M1012" s="289"/>
      <c r="N1012" s="87"/>
      <c r="O1012" s="87"/>
      <c r="P1012" s="87"/>
      <c r="Q1012" s="87"/>
      <c r="R1012" s="289"/>
      <c r="S1012" s="87"/>
      <c r="T1012" s="87"/>
      <c r="U1012" s="87"/>
      <c r="V1012" s="87"/>
      <c r="W1012" s="289"/>
    </row>
    <row r="1013" spans="1:23" s="290" customFormat="1" x14ac:dyDescent="0.2">
      <c r="A1013" s="286"/>
      <c r="B1013" s="287"/>
      <c r="C1013" s="288"/>
      <c r="D1013" s="87"/>
      <c r="E1013" s="87"/>
      <c r="F1013" s="87"/>
      <c r="G1013" s="87"/>
      <c r="H1013" s="289"/>
      <c r="I1013" s="289"/>
      <c r="J1013" s="87"/>
      <c r="K1013" s="87"/>
      <c r="L1013" s="87"/>
      <c r="M1013" s="289"/>
      <c r="N1013" s="87"/>
      <c r="O1013" s="87"/>
      <c r="P1013" s="87"/>
      <c r="Q1013" s="87"/>
      <c r="R1013" s="289"/>
      <c r="S1013" s="87"/>
      <c r="T1013" s="87"/>
      <c r="U1013" s="87"/>
      <c r="V1013" s="87"/>
      <c r="W1013" s="289"/>
    </row>
    <row r="1014" spans="1:23" s="290" customFormat="1" x14ac:dyDescent="0.2">
      <c r="A1014" s="286"/>
      <c r="B1014" s="287"/>
      <c r="C1014" s="288"/>
      <c r="D1014" s="87"/>
      <c r="E1014" s="87"/>
      <c r="F1014" s="87"/>
      <c r="G1014" s="87"/>
      <c r="H1014" s="289"/>
      <c r="I1014" s="289"/>
      <c r="J1014" s="87"/>
      <c r="K1014" s="87"/>
      <c r="L1014" s="87"/>
      <c r="M1014" s="289"/>
      <c r="N1014" s="87"/>
      <c r="O1014" s="87"/>
      <c r="P1014" s="87"/>
      <c r="Q1014" s="87"/>
      <c r="R1014" s="289"/>
      <c r="S1014" s="87"/>
      <c r="T1014" s="87"/>
      <c r="U1014" s="87"/>
      <c r="V1014" s="87"/>
      <c r="W1014" s="289"/>
    </row>
    <row r="1015" spans="1:23" s="290" customFormat="1" x14ac:dyDescent="0.2">
      <c r="A1015" s="286"/>
      <c r="B1015" s="287"/>
      <c r="C1015" s="288"/>
      <c r="D1015" s="87"/>
      <c r="E1015" s="87"/>
      <c r="F1015" s="87"/>
      <c r="G1015" s="87"/>
      <c r="H1015" s="289"/>
      <c r="I1015" s="289"/>
      <c r="J1015" s="87"/>
      <c r="K1015" s="87"/>
      <c r="L1015" s="87"/>
      <c r="M1015" s="289"/>
      <c r="N1015" s="87"/>
      <c r="O1015" s="87"/>
      <c r="P1015" s="87"/>
      <c r="Q1015" s="87"/>
      <c r="R1015" s="289"/>
      <c r="S1015" s="87"/>
      <c r="T1015" s="87"/>
      <c r="U1015" s="87"/>
      <c r="V1015" s="87"/>
      <c r="W1015" s="289"/>
    </row>
    <row r="1016" spans="1:23" s="290" customFormat="1" x14ac:dyDescent="0.2">
      <c r="A1016" s="286"/>
      <c r="B1016" s="287"/>
      <c r="C1016" s="288"/>
      <c r="D1016" s="87"/>
      <c r="E1016" s="87"/>
      <c r="F1016" s="87"/>
      <c r="G1016" s="87"/>
      <c r="H1016" s="289"/>
      <c r="I1016" s="289"/>
      <c r="J1016" s="87"/>
      <c r="K1016" s="87"/>
      <c r="L1016" s="87"/>
      <c r="M1016" s="289"/>
      <c r="N1016" s="87"/>
      <c r="O1016" s="87"/>
      <c r="P1016" s="87"/>
      <c r="Q1016" s="87"/>
      <c r="R1016" s="289"/>
      <c r="S1016" s="87"/>
      <c r="T1016" s="87"/>
      <c r="U1016" s="87"/>
      <c r="V1016" s="87"/>
      <c r="W1016" s="289"/>
    </row>
    <row r="1017" spans="1:23" s="290" customFormat="1" x14ac:dyDescent="0.2">
      <c r="A1017" s="286"/>
      <c r="B1017" s="287"/>
      <c r="C1017" s="288"/>
      <c r="D1017" s="87"/>
      <c r="E1017" s="87"/>
      <c r="F1017" s="87"/>
      <c r="G1017" s="87"/>
      <c r="H1017" s="289"/>
      <c r="I1017" s="289"/>
      <c r="J1017" s="87"/>
      <c r="K1017" s="87"/>
      <c r="L1017" s="87"/>
      <c r="M1017" s="289"/>
      <c r="N1017" s="87"/>
      <c r="O1017" s="87"/>
      <c r="P1017" s="87"/>
      <c r="Q1017" s="87"/>
      <c r="R1017" s="289"/>
      <c r="S1017" s="87"/>
      <c r="T1017" s="87"/>
      <c r="U1017" s="87"/>
      <c r="V1017" s="87"/>
      <c r="W1017" s="289"/>
    </row>
    <row r="1018" spans="1:23" s="290" customFormat="1" x14ac:dyDescent="0.2">
      <c r="A1018" s="286"/>
      <c r="B1018" s="287"/>
      <c r="C1018" s="288"/>
      <c r="D1018" s="87"/>
      <c r="E1018" s="87"/>
      <c r="F1018" s="87"/>
      <c r="G1018" s="87"/>
      <c r="H1018" s="289"/>
      <c r="I1018" s="289"/>
      <c r="J1018" s="87"/>
      <c r="K1018" s="87"/>
      <c r="L1018" s="87"/>
      <c r="M1018" s="289"/>
      <c r="N1018" s="87"/>
      <c r="O1018" s="87"/>
      <c r="P1018" s="87"/>
      <c r="Q1018" s="87"/>
      <c r="R1018" s="289"/>
      <c r="S1018" s="87"/>
      <c r="T1018" s="87"/>
      <c r="U1018" s="87"/>
      <c r="V1018" s="87"/>
      <c r="W1018" s="289"/>
    </row>
    <row r="1019" spans="1:23" s="290" customFormat="1" x14ac:dyDescent="0.2">
      <c r="A1019" s="286"/>
      <c r="B1019" s="287"/>
      <c r="C1019" s="288"/>
      <c r="D1019" s="87"/>
      <c r="E1019" s="87"/>
      <c r="F1019" s="87"/>
      <c r="G1019" s="87"/>
      <c r="H1019" s="289"/>
      <c r="I1019" s="289"/>
      <c r="J1019" s="87"/>
      <c r="K1019" s="87"/>
      <c r="L1019" s="87"/>
      <c r="M1019" s="289"/>
      <c r="N1019" s="87"/>
      <c r="O1019" s="87"/>
      <c r="P1019" s="87"/>
      <c r="Q1019" s="87"/>
      <c r="R1019" s="289"/>
      <c r="S1019" s="87"/>
      <c r="T1019" s="87"/>
      <c r="U1019" s="87"/>
      <c r="V1019" s="87"/>
      <c r="W1019" s="289"/>
    </row>
    <row r="1020" spans="1:23" s="290" customFormat="1" x14ac:dyDescent="0.2">
      <c r="A1020" s="286"/>
      <c r="B1020" s="287"/>
      <c r="C1020" s="288"/>
      <c r="D1020" s="87"/>
      <c r="E1020" s="87"/>
      <c r="F1020" s="87"/>
      <c r="G1020" s="87"/>
      <c r="H1020" s="289"/>
      <c r="I1020" s="289"/>
      <c r="J1020" s="87"/>
      <c r="K1020" s="87"/>
      <c r="L1020" s="87"/>
      <c r="M1020" s="289"/>
      <c r="N1020" s="87"/>
      <c r="O1020" s="87"/>
      <c r="P1020" s="87"/>
      <c r="Q1020" s="87"/>
      <c r="R1020" s="289"/>
      <c r="S1020" s="87"/>
      <c r="T1020" s="87"/>
      <c r="U1020" s="87"/>
      <c r="V1020" s="87"/>
      <c r="W1020" s="289"/>
    </row>
    <row r="1021" spans="1:23" s="290" customFormat="1" x14ac:dyDescent="0.2">
      <c r="A1021" s="286"/>
      <c r="B1021" s="287"/>
      <c r="C1021" s="288"/>
      <c r="D1021" s="87"/>
      <c r="E1021" s="87"/>
      <c r="F1021" s="87"/>
      <c r="G1021" s="87"/>
      <c r="H1021" s="289"/>
      <c r="I1021" s="289"/>
      <c r="J1021" s="87"/>
      <c r="K1021" s="87"/>
      <c r="L1021" s="87"/>
      <c r="M1021" s="289"/>
      <c r="N1021" s="87"/>
      <c r="O1021" s="87"/>
      <c r="P1021" s="87"/>
      <c r="Q1021" s="87"/>
      <c r="R1021" s="289"/>
      <c r="S1021" s="87"/>
      <c r="T1021" s="87"/>
      <c r="U1021" s="87"/>
      <c r="V1021" s="87"/>
      <c r="W1021" s="289"/>
    </row>
    <row r="1022" spans="1:23" s="290" customFormat="1" x14ac:dyDescent="0.2">
      <c r="A1022" s="286"/>
      <c r="B1022" s="287"/>
      <c r="C1022" s="288"/>
      <c r="D1022" s="87"/>
      <c r="E1022" s="87"/>
      <c r="F1022" s="87"/>
      <c r="G1022" s="87"/>
      <c r="H1022" s="289"/>
      <c r="I1022" s="289"/>
      <c r="J1022" s="87"/>
      <c r="K1022" s="87"/>
      <c r="L1022" s="87"/>
      <c r="M1022" s="289"/>
      <c r="N1022" s="87"/>
      <c r="O1022" s="87"/>
      <c r="P1022" s="87"/>
      <c r="Q1022" s="87"/>
      <c r="R1022" s="289"/>
      <c r="S1022" s="87"/>
      <c r="T1022" s="87"/>
      <c r="U1022" s="87"/>
      <c r="V1022" s="87"/>
      <c r="W1022" s="289"/>
    </row>
    <row r="1023" spans="1:23" s="290" customFormat="1" x14ac:dyDescent="0.2">
      <c r="A1023" s="286"/>
      <c r="B1023" s="287"/>
      <c r="C1023" s="288"/>
      <c r="D1023" s="87"/>
      <c r="E1023" s="87"/>
      <c r="F1023" s="87"/>
      <c r="G1023" s="87"/>
      <c r="H1023" s="289"/>
      <c r="I1023" s="289"/>
      <c r="J1023" s="87"/>
      <c r="K1023" s="87"/>
      <c r="L1023" s="87"/>
      <c r="M1023" s="289"/>
      <c r="N1023" s="87"/>
      <c r="O1023" s="87"/>
      <c r="P1023" s="87"/>
      <c r="Q1023" s="87"/>
      <c r="R1023" s="289"/>
      <c r="S1023" s="87"/>
      <c r="T1023" s="87"/>
      <c r="U1023" s="87"/>
      <c r="V1023" s="87"/>
      <c r="W1023" s="289"/>
    </row>
    <row r="1024" spans="1:23" s="290" customFormat="1" x14ac:dyDescent="0.2">
      <c r="A1024" s="286"/>
      <c r="B1024" s="287"/>
      <c r="C1024" s="288"/>
      <c r="D1024" s="87"/>
      <c r="E1024" s="87"/>
      <c r="F1024" s="87"/>
      <c r="G1024" s="87"/>
      <c r="H1024" s="289"/>
      <c r="I1024" s="289"/>
      <c r="J1024" s="87"/>
      <c r="K1024" s="87"/>
      <c r="L1024" s="87"/>
      <c r="M1024" s="289"/>
      <c r="N1024" s="87"/>
      <c r="O1024" s="87"/>
      <c r="P1024" s="87"/>
      <c r="Q1024" s="87"/>
      <c r="R1024" s="289"/>
      <c r="S1024" s="87"/>
      <c r="T1024" s="87"/>
      <c r="U1024" s="87"/>
      <c r="V1024" s="87"/>
      <c r="W1024" s="289"/>
    </row>
    <row r="1025" spans="1:23" s="290" customFormat="1" x14ac:dyDescent="0.2">
      <c r="A1025" s="286"/>
      <c r="B1025" s="287"/>
      <c r="C1025" s="288"/>
      <c r="D1025" s="87"/>
      <c r="E1025" s="87"/>
      <c r="F1025" s="87"/>
      <c r="G1025" s="87"/>
      <c r="H1025" s="289"/>
      <c r="I1025" s="289"/>
      <c r="J1025" s="87"/>
      <c r="K1025" s="87"/>
      <c r="L1025" s="87"/>
      <c r="M1025" s="289"/>
      <c r="N1025" s="87"/>
      <c r="O1025" s="87"/>
      <c r="P1025" s="87"/>
      <c r="Q1025" s="87"/>
      <c r="R1025" s="289"/>
      <c r="S1025" s="87"/>
      <c r="T1025" s="87"/>
      <c r="U1025" s="87"/>
      <c r="V1025" s="87"/>
      <c r="W1025" s="289"/>
    </row>
    <row r="1026" spans="1:23" s="290" customFormat="1" x14ac:dyDescent="0.2">
      <c r="A1026" s="286"/>
      <c r="B1026" s="287"/>
      <c r="C1026" s="288"/>
      <c r="D1026" s="87"/>
      <c r="E1026" s="87"/>
      <c r="F1026" s="87"/>
      <c r="G1026" s="87"/>
      <c r="H1026" s="289"/>
      <c r="I1026" s="289"/>
      <c r="J1026" s="87"/>
      <c r="K1026" s="87"/>
      <c r="L1026" s="87"/>
      <c r="M1026" s="289"/>
      <c r="N1026" s="87"/>
      <c r="O1026" s="87"/>
      <c r="P1026" s="87"/>
      <c r="Q1026" s="87"/>
      <c r="R1026" s="289"/>
      <c r="S1026" s="87"/>
      <c r="T1026" s="87"/>
      <c r="U1026" s="87"/>
      <c r="V1026" s="87"/>
      <c r="W1026" s="289"/>
    </row>
    <row r="1027" spans="1:23" s="290" customFormat="1" x14ac:dyDescent="0.2">
      <c r="A1027" s="286"/>
      <c r="B1027" s="287"/>
      <c r="C1027" s="288"/>
      <c r="D1027" s="87"/>
      <c r="E1027" s="87"/>
      <c r="F1027" s="87"/>
      <c r="G1027" s="87"/>
      <c r="H1027" s="289"/>
      <c r="I1027" s="289"/>
      <c r="J1027" s="87"/>
      <c r="K1027" s="87"/>
      <c r="L1027" s="87"/>
      <c r="M1027" s="289"/>
      <c r="N1027" s="87"/>
      <c r="O1027" s="87"/>
      <c r="P1027" s="87"/>
      <c r="Q1027" s="87"/>
      <c r="R1027" s="289"/>
      <c r="S1027" s="87"/>
      <c r="T1027" s="87"/>
      <c r="U1027" s="87"/>
      <c r="V1027" s="87"/>
      <c r="W1027" s="289"/>
    </row>
    <row r="1028" spans="1:23" s="290" customFormat="1" x14ac:dyDescent="0.2">
      <c r="A1028" s="286"/>
      <c r="B1028" s="287"/>
      <c r="C1028" s="288"/>
      <c r="D1028" s="87"/>
      <c r="E1028" s="87"/>
      <c r="F1028" s="87"/>
      <c r="G1028" s="87"/>
      <c r="H1028" s="289"/>
      <c r="I1028" s="289"/>
      <c r="J1028" s="87"/>
      <c r="K1028" s="87"/>
      <c r="L1028" s="87"/>
      <c r="M1028" s="289"/>
      <c r="N1028" s="87"/>
      <c r="O1028" s="87"/>
      <c r="P1028" s="87"/>
      <c r="Q1028" s="87"/>
      <c r="R1028" s="289"/>
      <c r="S1028" s="87"/>
      <c r="T1028" s="87"/>
      <c r="U1028" s="87"/>
      <c r="V1028" s="87"/>
      <c r="W1028" s="289"/>
    </row>
    <row r="1029" spans="1:23" s="290" customFormat="1" x14ac:dyDescent="0.2">
      <c r="A1029" s="286"/>
      <c r="B1029" s="287"/>
      <c r="C1029" s="288"/>
      <c r="D1029" s="87"/>
      <c r="E1029" s="87"/>
      <c r="F1029" s="87"/>
      <c r="G1029" s="87"/>
      <c r="H1029" s="289"/>
      <c r="I1029" s="289"/>
      <c r="J1029" s="87"/>
      <c r="K1029" s="87"/>
      <c r="L1029" s="87"/>
      <c r="M1029" s="289"/>
      <c r="N1029" s="87"/>
      <c r="O1029" s="87"/>
      <c r="P1029" s="87"/>
      <c r="Q1029" s="87"/>
      <c r="R1029" s="289"/>
      <c r="S1029" s="87"/>
      <c r="T1029" s="87"/>
      <c r="U1029" s="87"/>
      <c r="V1029" s="87"/>
      <c r="W1029" s="289"/>
    </row>
    <row r="1030" spans="1:23" s="290" customFormat="1" x14ac:dyDescent="0.2">
      <c r="A1030" s="286"/>
      <c r="B1030" s="287"/>
      <c r="C1030" s="288"/>
      <c r="D1030" s="87"/>
      <c r="E1030" s="87"/>
      <c r="F1030" s="87"/>
      <c r="G1030" s="87"/>
      <c r="H1030" s="289"/>
      <c r="I1030" s="289"/>
      <c r="J1030" s="87"/>
      <c r="K1030" s="87"/>
      <c r="L1030" s="87"/>
      <c r="M1030" s="289"/>
      <c r="N1030" s="87"/>
      <c r="O1030" s="87"/>
      <c r="P1030" s="87"/>
      <c r="Q1030" s="87"/>
      <c r="R1030" s="289"/>
      <c r="S1030" s="87"/>
      <c r="T1030" s="87"/>
      <c r="U1030" s="87"/>
      <c r="V1030" s="87"/>
      <c r="W1030" s="289"/>
    </row>
    <row r="1031" spans="1:23" s="290" customFormat="1" x14ac:dyDescent="0.2">
      <c r="A1031" s="286"/>
      <c r="B1031" s="287"/>
      <c r="C1031" s="288"/>
      <c r="D1031" s="87"/>
      <c r="E1031" s="87"/>
      <c r="F1031" s="87"/>
      <c r="G1031" s="87"/>
      <c r="H1031" s="289"/>
      <c r="I1031" s="289"/>
      <c r="J1031" s="87"/>
      <c r="K1031" s="87"/>
      <c r="L1031" s="87"/>
      <c r="M1031" s="289"/>
      <c r="N1031" s="87"/>
      <c r="O1031" s="87"/>
      <c r="P1031" s="87"/>
      <c r="Q1031" s="87"/>
      <c r="R1031" s="289"/>
      <c r="S1031" s="87"/>
      <c r="T1031" s="87"/>
      <c r="U1031" s="87"/>
      <c r="V1031" s="87"/>
      <c r="W1031" s="289"/>
    </row>
    <row r="1032" spans="1:23" s="290" customFormat="1" x14ac:dyDescent="0.2">
      <c r="A1032" s="286"/>
      <c r="B1032" s="287"/>
      <c r="C1032" s="288"/>
      <c r="D1032" s="87"/>
      <c r="E1032" s="87"/>
      <c r="F1032" s="87"/>
      <c r="G1032" s="87"/>
      <c r="H1032" s="289"/>
      <c r="I1032" s="289"/>
      <c r="J1032" s="87"/>
      <c r="K1032" s="87"/>
      <c r="L1032" s="87"/>
      <c r="M1032" s="289"/>
      <c r="N1032" s="87"/>
      <c r="O1032" s="87"/>
      <c r="P1032" s="87"/>
      <c r="Q1032" s="87"/>
      <c r="R1032" s="289"/>
      <c r="S1032" s="87"/>
      <c r="T1032" s="87"/>
      <c r="U1032" s="87"/>
      <c r="V1032" s="87"/>
      <c r="W1032" s="289"/>
    </row>
    <row r="1033" spans="1:23" s="290" customFormat="1" x14ac:dyDescent="0.2">
      <c r="A1033" s="286"/>
      <c r="B1033" s="287"/>
      <c r="C1033" s="288"/>
      <c r="D1033" s="87"/>
      <c r="E1033" s="87"/>
      <c r="F1033" s="87"/>
      <c r="G1033" s="87"/>
      <c r="H1033" s="289"/>
      <c r="I1033" s="289"/>
      <c r="J1033" s="87"/>
      <c r="K1033" s="87"/>
      <c r="L1033" s="87"/>
      <c r="M1033" s="289"/>
      <c r="N1033" s="87"/>
      <c r="O1033" s="87"/>
      <c r="P1033" s="87"/>
      <c r="Q1033" s="87"/>
      <c r="R1033" s="289"/>
      <c r="S1033" s="87"/>
      <c r="T1033" s="87"/>
      <c r="U1033" s="87"/>
      <c r="V1033" s="87"/>
      <c r="W1033" s="289"/>
    </row>
    <row r="1034" spans="1:23" s="290" customFormat="1" x14ac:dyDescent="0.2">
      <c r="A1034" s="286"/>
      <c r="B1034" s="287"/>
      <c r="C1034" s="288"/>
      <c r="D1034" s="87"/>
      <c r="E1034" s="87"/>
      <c r="F1034" s="87"/>
      <c r="G1034" s="87"/>
      <c r="H1034" s="289"/>
      <c r="I1034" s="289"/>
      <c r="J1034" s="87"/>
      <c r="K1034" s="87"/>
      <c r="L1034" s="87"/>
      <c r="M1034" s="289"/>
      <c r="N1034" s="87"/>
      <c r="O1034" s="87"/>
      <c r="P1034" s="87"/>
      <c r="Q1034" s="87"/>
      <c r="R1034" s="289"/>
      <c r="S1034" s="87"/>
      <c r="T1034" s="87"/>
      <c r="U1034" s="87"/>
      <c r="V1034" s="87"/>
      <c r="W1034" s="289"/>
    </row>
    <row r="1035" spans="1:23" s="290" customFormat="1" x14ac:dyDescent="0.2">
      <c r="A1035" s="286"/>
      <c r="B1035" s="287"/>
      <c r="C1035" s="288"/>
      <c r="D1035" s="87"/>
      <c r="E1035" s="87"/>
      <c r="F1035" s="87"/>
      <c r="G1035" s="87"/>
      <c r="H1035" s="289"/>
      <c r="I1035" s="289"/>
      <c r="J1035" s="87"/>
      <c r="K1035" s="87"/>
      <c r="L1035" s="87"/>
      <c r="M1035" s="289"/>
      <c r="N1035" s="87"/>
      <c r="O1035" s="87"/>
      <c r="P1035" s="87"/>
      <c r="Q1035" s="87"/>
      <c r="R1035" s="289"/>
      <c r="S1035" s="87"/>
      <c r="T1035" s="87"/>
      <c r="U1035" s="87"/>
      <c r="V1035" s="87"/>
      <c r="W1035" s="289"/>
    </row>
    <row r="1036" spans="1:23" s="290" customFormat="1" x14ac:dyDescent="0.2">
      <c r="A1036" s="286"/>
      <c r="B1036" s="287"/>
      <c r="C1036" s="288"/>
      <c r="D1036" s="87"/>
      <c r="E1036" s="87"/>
      <c r="F1036" s="87"/>
      <c r="G1036" s="87"/>
      <c r="H1036" s="289"/>
      <c r="I1036" s="289"/>
      <c r="J1036" s="87"/>
      <c r="K1036" s="87"/>
      <c r="L1036" s="87"/>
      <c r="M1036" s="289"/>
      <c r="N1036" s="87"/>
      <c r="O1036" s="87"/>
      <c r="P1036" s="87"/>
      <c r="Q1036" s="87"/>
      <c r="R1036" s="289"/>
      <c r="S1036" s="87"/>
      <c r="T1036" s="87"/>
      <c r="U1036" s="87"/>
      <c r="V1036" s="87"/>
      <c r="W1036" s="289"/>
    </row>
    <row r="1037" spans="1:23" s="290" customFormat="1" x14ac:dyDescent="0.2">
      <c r="A1037" s="286"/>
      <c r="B1037" s="287"/>
      <c r="C1037" s="288"/>
      <c r="D1037" s="87"/>
      <c r="E1037" s="87"/>
      <c r="F1037" s="87"/>
      <c r="G1037" s="87"/>
      <c r="H1037" s="289"/>
      <c r="I1037" s="289"/>
      <c r="J1037" s="87"/>
      <c r="K1037" s="87"/>
      <c r="L1037" s="87"/>
      <c r="M1037" s="289"/>
      <c r="N1037" s="87"/>
      <c r="O1037" s="87"/>
      <c r="P1037" s="87"/>
      <c r="Q1037" s="87"/>
      <c r="R1037" s="289"/>
      <c r="S1037" s="87"/>
      <c r="T1037" s="87"/>
      <c r="U1037" s="87"/>
      <c r="V1037" s="87"/>
      <c r="W1037" s="289"/>
    </row>
    <row r="1038" spans="1:23" s="290" customFormat="1" x14ac:dyDescent="0.2">
      <c r="A1038" s="286"/>
      <c r="B1038" s="287"/>
      <c r="C1038" s="288"/>
      <c r="D1038" s="87"/>
      <c r="E1038" s="87"/>
      <c r="F1038" s="87"/>
      <c r="G1038" s="87"/>
      <c r="H1038" s="289"/>
      <c r="I1038" s="289"/>
      <c r="J1038" s="87"/>
      <c r="K1038" s="87"/>
      <c r="L1038" s="87"/>
      <c r="M1038" s="289"/>
      <c r="N1038" s="87"/>
      <c r="O1038" s="87"/>
      <c r="P1038" s="87"/>
      <c r="Q1038" s="87"/>
      <c r="R1038" s="289"/>
      <c r="S1038" s="87"/>
      <c r="T1038" s="87"/>
      <c r="U1038" s="87"/>
      <c r="V1038" s="87"/>
      <c r="W1038" s="289"/>
    </row>
    <row r="1039" spans="1:23" s="290" customFormat="1" x14ac:dyDescent="0.2">
      <c r="A1039" s="286"/>
      <c r="B1039" s="287"/>
      <c r="C1039" s="288"/>
      <c r="D1039" s="87"/>
      <c r="E1039" s="87"/>
      <c r="F1039" s="87"/>
      <c r="G1039" s="87"/>
      <c r="H1039" s="289"/>
      <c r="I1039" s="289"/>
      <c r="J1039" s="87"/>
      <c r="K1039" s="87"/>
      <c r="L1039" s="87"/>
      <c r="M1039" s="289"/>
      <c r="N1039" s="87"/>
      <c r="O1039" s="87"/>
      <c r="P1039" s="87"/>
      <c r="Q1039" s="87"/>
      <c r="R1039" s="289"/>
      <c r="S1039" s="87"/>
      <c r="T1039" s="87"/>
      <c r="U1039" s="87"/>
      <c r="V1039" s="87"/>
      <c r="W1039" s="289"/>
    </row>
    <row r="1040" spans="1:23" s="290" customFormat="1" x14ac:dyDescent="0.2">
      <c r="A1040" s="286"/>
      <c r="B1040" s="287"/>
      <c r="C1040" s="288"/>
      <c r="D1040" s="87"/>
      <c r="E1040" s="87"/>
      <c r="F1040" s="87"/>
      <c r="G1040" s="87"/>
      <c r="H1040" s="289"/>
      <c r="I1040" s="289"/>
      <c r="J1040" s="87"/>
      <c r="K1040" s="87"/>
      <c r="L1040" s="87"/>
      <c r="M1040" s="289"/>
      <c r="N1040" s="87"/>
      <c r="O1040" s="87"/>
      <c r="P1040" s="87"/>
      <c r="Q1040" s="87"/>
      <c r="R1040" s="289"/>
      <c r="S1040" s="87"/>
      <c r="T1040" s="87"/>
      <c r="U1040" s="87"/>
      <c r="V1040" s="87"/>
      <c r="W1040" s="289"/>
    </row>
    <row r="1041" spans="1:23" s="290" customFormat="1" x14ac:dyDescent="0.2">
      <c r="A1041" s="286"/>
      <c r="B1041" s="287"/>
      <c r="C1041" s="288"/>
      <c r="D1041" s="87"/>
      <c r="E1041" s="87"/>
      <c r="F1041" s="87"/>
      <c r="G1041" s="87"/>
      <c r="H1041" s="289"/>
      <c r="I1041" s="289"/>
      <c r="J1041" s="87"/>
      <c r="K1041" s="87"/>
      <c r="L1041" s="87"/>
      <c r="M1041" s="289"/>
      <c r="N1041" s="87"/>
      <c r="O1041" s="87"/>
      <c r="P1041" s="87"/>
      <c r="Q1041" s="87"/>
      <c r="R1041" s="289"/>
      <c r="S1041" s="87"/>
      <c r="T1041" s="87"/>
      <c r="U1041" s="87"/>
      <c r="V1041" s="87"/>
      <c r="W1041" s="289"/>
    </row>
    <row r="1042" spans="1:23" s="290" customFormat="1" x14ac:dyDescent="0.2">
      <c r="A1042" s="286"/>
      <c r="B1042" s="287"/>
      <c r="C1042" s="288"/>
      <c r="D1042" s="87"/>
      <c r="E1042" s="87"/>
      <c r="F1042" s="87"/>
      <c r="G1042" s="87"/>
      <c r="H1042" s="289"/>
      <c r="I1042" s="289"/>
      <c r="J1042" s="87"/>
      <c r="K1042" s="87"/>
      <c r="L1042" s="87"/>
      <c r="M1042" s="289"/>
      <c r="N1042" s="87"/>
      <c r="O1042" s="87"/>
      <c r="P1042" s="87"/>
      <c r="Q1042" s="87"/>
      <c r="R1042" s="289"/>
      <c r="S1042" s="87"/>
      <c r="T1042" s="87"/>
      <c r="U1042" s="87"/>
      <c r="V1042" s="87"/>
      <c r="W1042" s="289"/>
    </row>
    <row r="1043" spans="1:23" s="290" customFormat="1" x14ac:dyDescent="0.2">
      <c r="A1043" s="286"/>
      <c r="B1043" s="287"/>
      <c r="C1043" s="288"/>
      <c r="D1043" s="87"/>
      <c r="E1043" s="87"/>
      <c r="F1043" s="87"/>
      <c r="G1043" s="87"/>
      <c r="H1043" s="289"/>
      <c r="I1043" s="289"/>
      <c r="J1043" s="87"/>
      <c r="K1043" s="87"/>
      <c r="L1043" s="87"/>
      <c r="M1043" s="289"/>
      <c r="N1043" s="87"/>
      <c r="O1043" s="87"/>
      <c r="P1043" s="87"/>
      <c r="Q1043" s="87"/>
      <c r="R1043" s="289"/>
      <c r="S1043" s="87"/>
      <c r="T1043" s="87"/>
      <c r="U1043" s="87"/>
      <c r="V1043" s="87"/>
      <c r="W1043" s="289"/>
    </row>
    <row r="1044" spans="1:23" s="290" customFormat="1" x14ac:dyDescent="0.2">
      <c r="A1044" s="286"/>
      <c r="B1044" s="287"/>
      <c r="C1044" s="288"/>
      <c r="D1044" s="87"/>
      <c r="E1044" s="87"/>
      <c r="F1044" s="87"/>
      <c r="G1044" s="87"/>
      <c r="H1044" s="289"/>
      <c r="I1044" s="289"/>
      <c r="J1044" s="87"/>
      <c r="K1044" s="87"/>
      <c r="L1044" s="87"/>
      <c r="M1044" s="289"/>
      <c r="N1044" s="87"/>
      <c r="O1044" s="87"/>
      <c r="P1044" s="87"/>
      <c r="Q1044" s="87"/>
      <c r="R1044" s="289"/>
      <c r="S1044" s="87"/>
      <c r="T1044" s="87"/>
      <c r="U1044" s="87"/>
      <c r="V1044" s="87"/>
      <c r="W1044" s="289"/>
    </row>
    <row r="1045" spans="1:23" s="290" customFormat="1" x14ac:dyDescent="0.2">
      <c r="A1045" s="286"/>
      <c r="B1045" s="287"/>
      <c r="C1045" s="288"/>
      <c r="D1045" s="87"/>
      <c r="E1045" s="87"/>
      <c r="F1045" s="87"/>
      <c r="G1045" s="87"/>
      <c r="H1045" s="289"/>
      <c r="I1045" s="289"/>
      <c r="J1045" s="87"/>
      <c r="K1045" s="87"/>
      <c r="L1045" s="87"/>
      <c r="M1045" s="289"/>
      <c r="N1045" s="87"/>
      <c r="O1045" s="87"/>
      <c r="P1045" s="87"/>
      <c r="Q1045" s="87"/>
      <c r="R1045" s="289"/>
      <c r="S1045" s="87"/>
      <c r="T1045" s="87"/>
      <c r="U1045" s="87"/>
      <c r="V1045" s="87"/>
      <c r="W1045" s="289"/>
    </row>
    <row r="1046" spans="1:23" s="290" customFormat="1" x14ac:dyDescent="0.2">
      <c r="A1046" s="286"/>
      <c r="B1046" s="287"/>
      <c r="C1046" s="288"/>
      <c r="D1046" s="87"/>
      <c r="E1046" s="87"/>
      <c r="F1046" s="87"/>
      <c r="G1046" s="87"/>
      <c r="H1046" s="289"/>
      <c r="I1046" s="289"/>
      <c r="J1046" s="87"/>
      <c r="K1046" s="87"/>
      <c r="L1046" s="87"/>
      <c r="M1046" s="289"/>
      <c r="N1046" s="87"/>
      <c r="O1046" s="87"/>
      <c r="P1046" s="87"/>
      <c r="Q1046" s="87"/>
      <c r="R1046" s="289"/>
      <c r="S1046" s="87"/>
      <c r="T1046" s="87"/>
      <c r="U1046" s="87"/>
      <c r="V1046" s="87"/>
      <c r="W1046" s="289"/>
    </row>
    <row r="1047" spans="1:23" s="290" customFormat="1" x14ac:dyDescent="0.2">
      <c r="A1047" s="286"/>
      <c r="B1047" s="287"/>
      <c r="C1047" s="288"/>
      <c r="D1047" s="87"/>
      <c r="E1047" s="87"/>
      <c r="F1047" s="87"/>
      <c r="G1047" s="87"/>
      <c r="H1047" s="289"/>
      <c r="I1047" s="289"/>
      <c r="J1047" s="87"/>
      <c r="K1047" s="87"/>
      <c r="L1047" s="87"/>
      <c r="M1047" s="289"/>
      <c r="N1047" s="87"/>
      <c r="O1047" s="87"/>
      <c r="P1047" s="87"/>
      <c r="Q1047" s="87"/>
      <c r="R1047" s="289"/>
      <c r="S1047" s="87"/>
      <c r="T1047" s="87"/>
      <c r="U1047" s="87"/>
      <c r="V1047" s="87"/>
      <c r="W1047" s="289"/>
    </row>
    <row r="1048" spans="1:23" s="290" customFormat="1" x14ac:dyDescent="0.2">
      <c r="A1048" s="286"/>
      <c r="B1048" s="287"/>
      <c r="C1048" s="288"/>
      <c r="D1048" s="87"/>
      <c r="E1048" s="87"/>
      <c r="F1048" s="87"/>
      <c r="G1048" s="87"/>
      <c r="H1048" s="289"/>
      <c r="I1048" s="289"/>
      <c r="J1048" s="87"/>
      <c r="K1048" s="87"/>
      <c r="L1048" s="87"/>
      <c r="M1048" s="289"/>
      <c r="N1048" s="87"/>
      <c r="O1048" s="87"/>
      <c r="P1048" s="87"/>
      <c r="Q1048" s="87"/>
      <c r="R1048" s="289"/>
      <c r="S1048" s="87"/>
      <c r="T1048" s="87"/>
      <c r="U1048" s="87"/>
      <c r="V1048" s="87"/>
      <c r="W1048" s="289"/>
    </row>
    <row r="1049" spans="1:23" s="290" customFormat="1" x14ac:dyDescent="0.2">
      <c r="A1049" s="286"/>
      <c r="B1049" s="287"/>
      <c r="C1049" s="288"/>
      <c r="D1049" s="87"/>
      <c r="E1049" s="87"/>
      <c r="F1049" s="87"/>
      <c r="G1049" s="87"/>
      <c r="H1049" s="289"/>
      <c r="I1049" s="289"/>
      <c r="J1049" s="87"/>
      <c r="K1049" s="87"/>
      <c r="L1049" s="87"/>
      <c r="M1049" s="289"/>
      <c r="N1049" s="87"/>
      <c r="O1049" s="87"/>
      <c r="P1049" s="87"/>
      <c r="Q1049" s="87"/>
      <c r="R1049" s="289"/>
      <c r="S1049" s="87"/>
      <c r="T1049" s="87"/>
      <c r="U1049" s="87"/>
      <c r="V1049" s="87"/>
      <c r="W1049" s="289"/>
    </row>
    <row r="1050" spans="1:23" s="290" customFormat="1" x14ac:dyDescent="0.2">
      <c r="A1050" s="286"/>
      <c r="B1050" s="287"/>
      <c r="C1050" s="288"/>
      <c r="D1050" s="87"/>
      <c r="E1050" s="87"/>
      <c r="F1050" s="87"/>
      <c r="G1050" s="87"/>
      <c r="H1050" s="289"/>
      <c r="I1050" s="289"/>
      <c r="J1050" s="87"/>
      <c r="K1050" s="87"/>
      <c r="L1050" s="87"/>
      <c r="M1050" s="289"/>
      <c r="N1050" s="87"/>
      <c r="O1050" s="87"/>
      <c r="P1050" s="87"/>
      <c r="Q1050" s="87"/>
      <c r="R1050" s="289"/>
      <c r="S1050" s="87"/>
      <c r="T1050" s="87"/>
      <c r="U1050" s="87"/>
      <c r="V1050" s="87"/>
      <c r="W1050" s="289"/>
    </row>
    <row r="1051" spans="1:23" s="290" customFormat="1" x14ac:dyDescent="0.2">
      <c r="A1051" s="286"/>
      <c r="B1051" s="287"/>
      <c r="C1051" s="288"/>
      <c r="D1051" s="87"/>
      <c r="E1051" s="87"/>
      <c r="F1051" s="87"/>
      <c r="G1051" s="87"/>
      <c r="H1051" s="289"/>
      <c r="I1051" s="289"/>
      <c r="J1051" s="87"/>
      <c r="K1051" s="87"/>
      <c r="L1051" s="87"/>
      <c r="M1051" s="289"/>
      <c r="N1051" s="87"/>
      <c r="O1051" s="87"/>
      <c r="P1051" s="87"/>
      <c r="Q1051" s="87"/>
      <c r="R1051" s="289"/>
      <c r="S1051" s="87"/>
      <c r="T1051" s="87"/>
      <c r="U1051" s="87"/>
      <c r="V1051" s="87"/>
      <c r="W1051" s="289"/>
    </row>
    <row r="1052" spans="1:23" s="290" customFormat="1" x14ac:dyDescent="0.2">
      <c r="A1052" s="286"/>
      <c r="B1052" s="287"/>
      <c r="C1052" s="288"/>
      <c r="D1052" s="87"/>
      <c r="E1052" s="87"/>
      <c r="F1052" s="87"/>
      <c r="G1052" s="87"/>
      <c r="H1052" s="289"/>
      <c r="I1052" s="289"/>
      <c r="J1052" s="87"/>
      <c r="K1052" s="87"/>
      <c r="L1052" s="87"/>
      <c r="M1052" s="289"/>
      <c r="N1052" s="87"/>
      <c r="O1052" s="87"/>
      <c r="P1052" s="87"/>
      <c r="Q1052" s="87"/>
      <c r="R1052" s="289"/>
      <c r="S1052" s="87"/>
      <c r="T1052" s="87"/>
      <c r="U1052" s="87"/>
      <c r="V1052" s="87"/>
      <c r="W1052" s="289"/>
    </row>
    <row r="1053" spans="1:23" s="290" customFormat="1" x14ac:dyDescent="0.2">
      <c r="A1053" s="286"/>
      <c r="B1053" s="287"/>
      <c r="C1053" s="288"/>
      <c r="D1053" s="87"/>
      <c r="E1053" s="87"/>
      <c r="F1053" s="87"/>
      <c r="G1053" s="87"/>
      <c r="H1053" s="289"/>
      <c r="I1053" s="289"/>
      <c r="J1053" s="87"/>
      <c r="K1053" s="87"/>
      <c r="L1053" s="87"/>
      <c r="M1053" s="289"/>
      <c r="N1053" s="87"/>
      <c r="O1053" s="87"/>
      <c r="P1053" s="87"/>
      <c r="Q1053" s="87"/>
      <c r="R1053" s="289"/>
      <c r="S1053" s="87"/>
      <c r="T1053" s="87"/>
      <c r="U1053" s="87"/>
      <c r="V1053" s="87"/>
      <c r="W1053" s="289"/>
    </row>
    <row r="1054" spans="1:23" s="290" customFormat="1" x14ac:dyDescent="0.2">
      <c r="A1054" s="286"/>
      <c r="B1054" s="287"/>
      <c r="C1054" s="288"/>
      <c r="D1054" s="87"/>
      <c r="E1054" s="87"/>
      <c r="F1054" s="87"/>
      <c r="G1054" s="87"/>
      <c r="H1054" s="289"/>
      <c r="I1054" s="289"/>
      <c r="J1054" s="87"/>
      <c r="K1054" s="87"/>
      <c r="L1054" s="87"/>
      <c r="M1054" s="289"/>
      <c r="N1054" s="87"/>
      <c r="O1054" s="87"/>
      <c r="P1054" s="87"/>
      <c r="Q1054" s="87"/>
      <c r="R1054" s="289"/>
      <c r="S1054" s="87"/>
      <c r="T1054" s="87"/>
      <c r="U1054" s="87"/>
      <c r="V1054" s="87"/>
      <c r="W1054" s="289"/>
    </row>
    <row r="1055" spans="1:23" s="290" customFormat="1" x14ac:dyDescent="0.2">
      <c r="A1055" s="286"/>
      <c r="B1055" s="287"/>
      <c r="C1055" s="288"/>
      <c r="D1055" s="87"/>
      <c r="E1055" s="87"/>
      <c r="F1055" s="87"/>
      <c r="G1055" s="87"/>
      <c r="H1055" s="289"/>
      <c r="I1055" s="289"/>
      <c r="J1055" s="87"/>
      <c r="K1055" s="87"/>
      <c r="L1055" s="87"/>
      <c r="M1055" s="289"/>
      <c r="N1055" s="87"/>
      <c r="O1055" s="87"/>
      <c r="P1055" s="87"/>
      <c r="Q1055" s="87"/>
      <c r="R1055" s="289"/>
      <c r="S1055" s="87"/>
      <c r="T1055" s="87"/>
      <c r="U1055" s="87"/>
      <c r="V1055" s="87"/>
      <c r="W1055" s="289"/>
    </row>
    <row r="1056" spans="1:23" s="290" customFormat="1" x14ac:dyDescent="0.2">
      <c r="A1056" s="286"/>
      <c r="B1056" s="287"/>
      <c r="C1056" s="288"/>
      <c r="D1056" s="87"/>
      <c r="E1056" s="87"/>
      <c r="F1056" s="87"/>
      <c r="G1056" s="87"/>
      <c r="H1056" s="289"/>
      <c r="I1056" s="289"/>
      <c r="J1056" s="87"/>
      <c r="K1056" s="87"/>
      <c r="L1056" s="87"/>
      <c r="M1056" s="289"/>
      <c r="N1056" s="87"/>
      <c r="O1056" s="87"/>
      <c r="P1056" s="87"/>
      <c r="Q1056" s="87"/>
      <c r="R1056" s="289"/>
      <c r="S1056" s="87"/>
      <c r="T1056" s="87"/>
      <c r="U1056" s="87"/>
      <c r="V1056" s="87"/>
      <c r="W1056" s="289"/>
    </row>
    <row r="1057" spans="1:23" s="290" customFormat="1" x14ac:dyDescent="0.2">
      <c r="A1057" s="286"/>
      <c r="B1057" s="287"/>
      <c r="C1057" s="288"/>
      <c r="D1057" s="87"/>
      <c r="E1057" s="87"/>
      <c r="F1057" s="87"/>
      <c r="G1057" s="87"/>
      <c r="H1057" s="289"/>
      <c r="I1057" s="289"/>
      <c r="J1057" s="87"/>
      <c r="K1057" s="87"/>
      <c r="L1057" s="87"/>
      <c r="M1057" s="289"/>
      <c r="N1057" s="87"/>
      <c r="O1057" s="87"/>
      <c r="P1057" s="87"/>
      <c r="Q1057" s="87"/>
      <c r="R1057" s="289"/>
      <c r="S1057" s="87"/>
      <c r="T1057" s="87"/>
      <c r="U1057" s="87"/>
      <c r="V1057" s="87"/>
      <c r="W1057" s="289"/>
    </row>
    <row r="1058" spans="1:23" s="290" customFormat="1" x14ac:dyDescent="0.2">
      <c r="A1058" s="286"/>
      <c r="B1058" s="287"/>
      <c r="C1058" s="288"/>
      <c r="D1058" s="87"/>
      <c r="E1058" s="87"/>
      <c r="F1058" s="87"/>
      <c r="G1058" s="87"/>
      <c r="H1058" s="289"/>
      <c r="I1058" s="289"/>
      <c r="J1058" s="87"/>
      <c r="K1058" s="87"/>
      <c r="L1058" s="87"/>
      <c r="M1058" s="289"/>
      <c r="N1058" s="87"/>
      <c r="O1058" s="87"/>
      <c r="P1058" s="87"/>
      <c r="Q1058" s="87"/>
      <c r="R1058" s="289"/>
      <c r="S1058" s="87"/>
      <c r="T1058" s="87"/>
      <c r="U1058" s="87"/>
      <c r="V1058" s="87"/>
      <c r="W1058" s="289"/>
    </row>
    <row r="1059" spans="1:23" s="290" customFormat="1" x14ac:dyDescent="0.2">
      <c r="A1059" s="286"/>
      <c r="B1059" s="287"/>
      <c r="C1059" s="288"/>
      <c r="D1059" s="87"/>
      <c r="E1059" s="87"/>
      <c r="F1059" s="87"/>
      <c r="G1059" s="87"/>
      <c r="H1059" s="289"/>
      <c r="I1059" s="289"/>
      <c r="J1059" s="87"/>
      <c r="K1059" s="87"/>
      <c r="L1059" s="87"/>
      <c r="M1059" s="289"/>
      <c r="N1059" s="87"/>
      <c r="O1059" s="87"/>
      <c r="P1059" s="87"/>
      <c r="Q1059" s="87"/>
      <c r="R1059" s="289"/>
      <c r="S1059" s="87"/>
      <c r="T1059" s="87"/>
      <c r="U1059" s="87"/>
      <c r="V1059" s="87"/>
      <c r="W1059" s="289"/>
    </row>
    <row r="1060" spans="1:23" s="290" customFormat="1" x14ac:dyDescent="0.2">
      <c r="A1060" s="286"/>
      <c r="B1060" s="287"/>
      <c r="C1060" s="288"/>
      <c r="D1060" s="87"/>
      <c r="E1060" s="87"/>
      <c r="F1060" s="87"/>
      <c r="G1060" s="87"/>
      <c r="H1060" s="289"/>
      <c r="I1060" s="289"/>
      <c r="J1060" s="87"/>
      <c r="K1060" s="87"/>
      <c r="L1060" s="87"/>
      <c r="M1060" s="289"/>
      <c r="N1060" s="87"/>
      <c r="O1060" s="87"/>
      <c r="P1060" s="87"/>
      <c r="Q1060" s="87"/>
      <c r="R1060" s="289"/>
      <c r="S1060" s="87"/>
      <c r="T1060" s="87"/>
      <c r="U1060" s="87"/>
      <c r="V1060" s="87"/>
      <c r="W1060" s="289"/>
    </row>
    <row r="1061" spans="1:23" s="290" customFormat="1" x14ac:dyDescent="0.2">
      <c r="A1061" s="286"/>
      <c r="B1061" s="287"/>
      <c r="C1061" s="288"/>
      <c r="D1061" s="87"/>
      <c r="E1061" s="87"/>
      <c r="F1061" s="87"/>
      <c r="G1061" s="87"/>
      <c r="H1061" s="289"/>
      <c r="I1061" s="289"/>
      <c r="J1061" s="87"/>
      <c r="K1061" s="87"/>
      <c r="L1061" s="87"/>
      <c r="M1061" s="289"/>
      <c r="N1061" s="87"/>
      <c r="O1061" s="87"/>
      <c r="P1061" s="87"/>
      <c r="Q1061" s="87"/>
      <c r="R1061" s="289"/>
      <c r="S1061" s="87"/>
      <c r="T1061" s="87"/>
      <c r="U1061" s="87"/>
      <c r="V1061" s="87"/>
      <c r="W1061" s="289"/>
    </row>
    <row r="1062" spans="1:23" s="290" customFormat="1" x14ac:dyDescent="0.2">
      <c r="A1062" s="286"/>
      <c r="B1062" s="287"/>
      <c r="C1062" s="288"/>
      <c r="D1062" s="87"/>
      <c r="E1062" s="87"/>
      <c r="F1062" s="87"/>
      <c r="G1062" s="87"/>
      <c r="H1062" s="289"/>
      <c r="I1062" s="289"/>
      <c r="J1062" s="87"/>
      <c r="K1062" s="87"/>
      <c r="L1062" s="87"/>
      <c r="M1062" s="289"/>
      <c r="N1062" s="87"/>
      <c r="O1062" s="87"/>
      <c r="P1062" s="87"/>
      <c r="Q1062" s="87"/>
      <c r="R1062" s="289"/>
      <c r="S1062" s="87"/>
      <c r="T1062" s="87"/>
      <c r="U1062" s="87"/>
      <c r="V1062" s="87"/>
      <c r="W1062" s="289"/>
    </row>
    <row r="1063" spans="1:23" s="290" customFormat="1" x14ac:dyDescent="0.2">
      <c r="A1063" s="286"/>
      <c r="B1063" s="287"/>
      <c r="C1063" s="288"/>
      <c r="D1063" s="87"/>
      <c r="E1063" s="87"/>
      <c r="F1063" s="87"/>
      <c r="G1063" s="87"/>
      <c r="H1063" s="289"/>
      <c r="I1063" s="289"/>
      <c r="J1063" s="87"/>
      <c r="K1063" s="87"/>
      <c r="L1063" s="87"/>
      <c r="M1063" s="289"/>
      <c r="N1063" s="87"/>
      <c r="O1063" s="87"/>
      <c r="P1063" s="87"/>
      <c r="Q1063" s="87"/>
      <c r="R1063" s="289"/>
      <c r="S1063" s="87"/>
      <c r="T1063" s="87"/>
      <c r="U1063" s="87"/>
      <c r="V1063" s="87"/>
      <c r="W1063" s="289"/>
    </row>
    <row r="1064" spans="1:23" s="290" customFormat="1" x14ac:dyDescent="0.2">
      <c r="A1064" s="286"/>
      <c r="B1064" s="287"/>
      <c r="C1064" s="288"/>
      <c r="D1064" s="87"/>
      <c r="E1064" s="87"/>
      <c r="F1064" s="87"/>
      <c r="G1064" s="87"/>
      <c r="H1064" s="289"/>
      <c r="I1064" s="289"/>
      <c r="J1064" s="87"/>
      <c r="K1064" s="87"/>
      <c r="L1064" s="87"/>
      <c r="M1064" s="289"/>
      <c r="N1064" s="87"/>
      <c r="O1064" s="87"/>
      <c r="P1064" s="87"/>
      <c r="Q1064" s="87"/>
      <c r="R1064" s="289"/>
      <c r="S1064" s="87"/>
      <c r="T1064" s="87"/>
      <c r="U1064" s="87"/>
      <c r="V1064" s="87"/>
      <c r="W1064" s="289"/>
    </row>
    <row r="1065" spans="1:23" s="290" customFormat="1" x14ac:dyDescent="0.2">
      <c r="A1065" s="286"/>
      <c r="B1065" s="287"/>
      <c r="C1065" s="288"/>
      <c r="D1065" s="87"/>
      <c r="E1065" s="87"/>
      <c r="F1065" s="87"/>
      <c r="G1065" s="87"/>
      <c r="H1065" s="289"/>
      <c r="I1065" s="289"/>
      <c r="J1065" s="87"/>
      <c r="K1065" s="87"/>
      <c r="L1065" s="87"/>
      <c r="M1065" s="289"/>
      <c r="N1065" s="87"/>
      <c r="O1065" s="87"/>
      <c r="P1065" s="87"/>
      <c r="Q1065" s="87"/>
      <c r="R1065" s="289"/>
      <c r="S1065" s="87"/>
      <c r="T1065" s="87"/>
      <c r="U1065" s="87"/>
      <c r="V1065" s="87"/>
      <c r="W1065" s="289"/>
    </row>
    <row r="1066" spans="1:23" s="290" customFormat="1" x14ac:dyDescent="0.2">
      <c r="A1066" s="286"/>
      <c r="B1066" s="287"/>
      <c r="C1066" s="288"/>
      <c r="D1066" s="87"/>
      <c r="E1066" s="87"/>
      <c r="F1066" s="87"/>
      <c r="G1066" s="87"/>
      <c r="H1066" s="289"/>
      <c r="I1066" s="289"/>
      <c r="J1066" s="87"/>
      <c r="K1066" s="87"/>
      <c r="L1066" s="87"/>
      <c r="M1066" s="289"/>
      <c r="N1066" s="87"/>
      <c r="O1066" s="87"/>
      <c r="P1066" s="87"/>
      <c r="Q1066" s="87"/>
      <c r="R1066" s="289"/>
      <c r="S1066" s="87"/>
      <c r="T1066" s="87"/>
      <c r="U1066" s="87"/>
      <c r="V1066" s="87"/>
      <c r="W1066" s="289"/>
    </row>
    <row r="1067" spans="1:23" s="290" customFormat="1" x14ac:dyDescent="0.2">
      <c r="A1067" s="286"/>
      <c r="B1067" s="287"/>
      <c r="C1067" s="288"/>
      <c r="D1067" s="87"/>
      <c r="E1067" s="87"/>
      <c r="F1067" s="87"/>
      <c r="G1067" s="87"/>
      <c r="H1067" s="289"/>
      <c r="I1067" s="289"/>
      <c r="J1067" s="87"/>
      <c r="K1067" s="87"/>
      <c r="L1067" s="87"/>
      <c r="M1067" s="289"/>
      <c r="N1067" s="87"/>
      <c r="O1067" s="87"/>
      <c r="P1067" s="87"/>
      <c r="Q1067" s="87"/>
      <c r="R1067" s="289"/>
      <c r="S1067" s="87"/>
      <c r="T1067" s="87"/>
      <c r="U1067" s="87"/>
      <c r="V1067" s="87"/>
      <c r="W1067" s="289"/>
    </row>
    <row r="1068" spans="1:23" s="290" customFormat="1" x14ac:dyDescent="0.2">
      <c r="A1068" s="286"/>
      <c r="B1068" s="287"/>
      <c r="C1068" s="288"/>
      <c r="D1068" s="87"/>
      <c r="E1068" s="87"/>
      <c r="F1068" s="87"/>
      <c r="G1068" s="87"/>
      <c r="H1068" s="289"/>
      <c r="I1068" s="289"/>
      <c r="J1068" s="87"/>
      <c r="K1068" s="87"/>
      <c r="L1068" s="87"/>
      <c r="M1068" s="289"/>
      <c r="N1068" s="87"/>
      <c r="O1068" s="87"/>
      <c r="P1068" s="87"/>
      <c r="Q1068" s="87"/>
      <c r="R1068" s="289"/>
      <c r="S1068" s="87"/>
      <c r="T1068" s="87"/>
      <c r="U1068" s="87"/>
      <c r="V1068" s="87"/>
      <c r="W1068" s="289"/>
    </row>
    <row r="1069" spans="1:23" s="290" customFormat="1" x14ac:dyDescent="0.2">
      <c r="A1069" s="286"/>
      <c r="B1069" s="287"/>
      <c r="C1069" s="288"/>
      <c r="D1069" s="87"/>
      <c r="E1069" s="87"/>
      <c r="F1069" s="87"/>
      <c r="G1069" s="87"/>
      <c r="H1069" s="289"/>
      <c r="I1069" s="289"/>
      <c r="J1069" s="87"/>
      <c r="K1069" s="87"/>
      <c r="L1069" s="87"/>
      <c r="M1069" s="289"/>
      <c r="N1069" s="87"/>
      <c r="O1069" s="87"/>
      <c r="P1069" s="87"/>
      <c r="Q1069" s="87"/>
      <c r="R1069" s="289"/>
      <c r="S1069" s="87"/>
      <c r="T1069" s="87"/>
      <c r="U1069" s="87"/>
      <c r="V1069" s="87"/>
      <c r="W1069" s="289"/>
    </row>
    <row r="1070" spans="1:23" s="290" customFormat="1" x14ac:dyDescent="0.2">
      <c r="A1070" s="286"/>
      <c r="B1070" s="287"/>
      <c r="C1070" s="288"/>
      <c r="D1070" s="87"/>
      <c r="E1070" s="87"/>
      <c r="F1070" s="87"/>
      <c r="G1070" s="87"/>
      <c r="H1070" s="289"/>
      <c r="I1070" s="289"/>
      <c r="J1070" s="87"/>
      <c r="K1070" s="87"/>
      <c r="L1070" s="87"/>
      <c r="M1070" s="289"/>
      <c r="N1070" s="87"/>
      <c r="O1070" s="87"/>
      <c r="P1070" s="87"/>
      <c r="Q1070" s="87"/>
      <c r="R1070" s="289"/>
      <c r="S1070" s="87"/>
      <c r="T1070" s="87"/>
      <c r="U1070" s="87"/>
      <c r="V1070" s="87"/>
      <c r="W1070" s="289"/>
    </row>
    <row r="1071" spans="1:23" s="290" customFormat="1" x14ac:dyDescent="0.2">
      <c r="A1071" s="286"/>
      <c r="B1071" s="287"/>
      <c r="C1071" s="288"/>
      <c r="D1071" s="87"/>
      <c r="E1071" s="87"/>
      <c r="F1071" s="87"/>
      <c r="G1071" s="87"/>
      <c r="H1071" s="289"/>
      <c r="I1071" s="289"/>
      <c r="J1071" s="87"/>
      <c r="K1071" s="87"/>
      <c r="L1071" s="87"/>
      <c r="M1071" s="289"/>
      <c r="N1071" s="87"/>
      <c r="O1071" s="87"/>
      <c r="P1071" s="87"/>
      <c r="Q1071" s="87"/>
      <c r="R1071" s="289"/>
      <c r="S1071" s="87"/>
      <c r="T1071" s="87"/>
      <c r="U1071" s="87"/>
      <c r="V1071" s="87"/>
      <c r="W1071" s="289"/>
    </row>
    <row r="1072" spans="1:23" s="290" customFormat="1" x14ac:dyDescent="0.2">
      <c r="A1072" s="286"/>
      <c r="B1072" s="287"/>
      <c r="C1072" s="288"/>
      <c r="D1072" s="87"/>
      <c r="E1072" s="87"/>
      <c r="F1072" s="87"/>
      <c r="G1072" s="87"/>
      <c r="H1072" s="289"/>
      <c r="I1072" s="289"/>
      <c r="J1072" s="87"/>
      <c r="K1072" s="87"/>
      <c r="L1072" s="87"/>
      <c r="M1072" s="289"/>
      <c r="N1072" s="87"/>
      <c r="O1072" s="87"/>
      <c r="P1072" s="87"/>
      <c r="Q1072" s="87"/>
      <c r="R1072" s="289"/>
      <c r="S1072" s="87"/>
      <c r="T1072" s="87"/>
      <c r="U1072" s="87"/>
      <c r="V1072" s="87"/>
      <c r="W1072" s="289"/>
    </row>
    <row r="1073" spans="1:23" s="290" customFormat="1" x14ac:dyDescent="0.2">
      <c r="A1073" s="286"/>
      <c r="B1073" s="287"/>
      <c r="C1073" s="288"/>
      <c r="D1073" s="87"/>
      <c r="E1073" s="87"/>
      <c r="F1073" s="87"/>
      <c r="G1073" s="87"/>
      <c r="H1073" s="289"/>
      <c r="I1073" s="289"/>
      <c r="J1073" s="87"/>
      <c r="K1073" s="87"/>
      <c r="L1073" s="87"/>
      <c r="M1073" s="289"/>
      <c r="N1073" s="87"/>
      <c r="O1073" s="87"/>
      <c r="P1073" s="87"/>
      <c r="Q1073" s="87"/>
      <c r="R1073" s="289"/>
      <c r="S1073" s="87"/>
      <c r="T1073" s="87"/>
      <c r="U1073" s="87"/>
      <c r="V1073" s="87"/>
      <c r="W1073" s="289"/>
    </row>
    <row r="1074" spans="1:23" s="290" customFormat="1" x14ac:dyDescent="0.2">
      <c r="A1074" s="286"/>
      <c r="B1074" s="287"/>
      <c r="C1074" s="288"/>
      <c r="D1074" s="87"/>
      <c r="E1074" s="87"/>
      <c r="F1074" s="87"/>
      <c r="G1074" s="87"/>
      <c r="H1074" s="289"/>
      <c r="I1074" s="289"/>
      <c r="J1074" s="87"/>
      <c r="K1074" s="87"/>
      <c r="L1074" s="87"/>
      <c r="M1074" s="289"/>
      <c r="N1074" s="87"/>
      <c r="O1074" s="87"/>
      <c r="P1074" s="87"/>
      <c r="Q1074" s="87"/>
      <c r="R1074" s="289"/>
      <c r="S1074" s="87"/>
      <c r="T1074" s="87"/>
      <c r="U1074" s="87"/>
      <c r="V1074" s="87"/>
      <c r="W1074" s="289"/>
    </row>
    <row r="1075" spans="1:23" s="290" customFormat="1" x14ac:dyDescent="0.2">
      <c r="A1075" s="286"/>
      <c r="B1075" s="287"/>
      <c r="C1075" s="288"/>
      <c r="D1075" s="87"/>
      <c r="E1075" s="87"/>
      <c r="F1075" s="87"/>
      <c r="G1075" s="87"/>
      <c r="H1075" s="289"/>
      <c r="I1075" s="289"/>
      <c r="J1075" s="87"/>
      <c r="K1075" s="87"/>
      <c r="L1075" s="87"/>
      <c r="M1075" s="289"/>
      <c r="N1075" s="87"/>
      <c r="O1075" s="87"/>
      <c r="P1075" s="87"/>
      <c r="Q1075" s="87"/>
      <c r="R1075" s="289"/>
      <c r="S1075" s="87"/>
      <c r="T1075" s="87"/>
      <c r="U1075" s="87"/>
      <c r="V1075" s="87"/>
      <c r="W1075" s="289"/>
    </row>
    <row r="1076" spans="1:23" s="290" customFormat="1" x14ac:dyDescent="0.2">
      <c r="A1076" s="286"/>
      <c r="B1076" s="287"/>
      <c r="C1076" s="288"/>
      <c r="D1076" s="87"/>
      <c r="E1076" s="87"/>
      <c r="F1076" s="87"/>
      <c r="G1076" s="87"/>
      <c r="H1076" s="289"/>
      <c r="I1076" s="289"/>
      <c r="J1076" s="87"/>
      <c r="K1076" s="87"/>
      <c r="L1076" s="87"/>
      <c r="M1076" s="289"/>
      <c r="N1076" s="87"/>
      <c r="O1076" s="87"/>
      <c r="P1076" s="87"/>
      <c r="Q1076" s="87"/>
      <c r="R1076" s="289"/>
      <c r="S1076" s="87"/>
      <c r="T1076" s="87"/>
      <c r="U1076" s="87"/>
      <c r="V1076" s="87"/>
      <c r="W1076" s="289"/>
    </row>
    <row r="1077" spans="1:23" s="290" customFormat="1" x14ac:dyDescent="0.2">
      <c r="A1077" s="286"/>
      <c r="B1077" s="287"/>
      <c r="C1077" s="288"/>
      <c r="D1077" s="87"/>
      <c r="E1077" s="87"/>
      <c r="F1077" s="87"/>
      <c r="G1077" s="87"/>
      <c r="H1077" s="289"/>
      <c r="I1077" s="289"/>
      <c r="J1077" s="87"/>
      <c r="K1077" s="87"/>
      <c r="L1077" s="87"/>
      <c r="M1077" s="289"/>
      <c r="N1077" s="87"/>
      <c r="O1077" s="87"/>
      <c r="P1077" s="87"/>
      <c r="Q1077" s="87"/>
      <c r="R1077" s="289"/>
      <c r="S1077" s="87"/>
      <c r="T1077" s="87"/>
      <c r="U1077" s="87"/>
      <c r="V1077" s="87"/>
      <c r="W1077" s="289"/>
    </row>
    <row r="1078" spans="1:23" s="290" customFormat="1" x14ac:dyDescent="0.2">
      <c r="A1078" s="286"/>
      <c r="B1078" s="287"/>
      <c r="C1078" s="288"/>
      <c r="D1078" s="87"/>
      <c r="E1078" s="87"/>
      <c r="F1078" s="87"/>
      <c r="G1078" s="87"/>
      <c r="H1078" s="289"/>
      <c r="I1078" s="289"/>
      <c r="J1078" s="87"/>
      <c r="K1078" s="87"/>
      <c r="L1078" s="87"/>
      <c r="M1078" s="289"/>
      <c r="N1078" s="87"/>
      <c r="O1078" s="87"/>
      <c r="P1078" s="87"/>
      <c r="Q1078" s="87"/>
      <c r="R1078" s="289"/>
      <c r="S1078" s="87"/>
      <c r="T1078" s="87"/>
      <c r="U1078" s="87"/>
      <c r="V1078" s="87"/>
      <c r="W1078" s="289"/>
    </row>
    <row r="1079" spans="1:23" s="290" customFormat="1" x14ac:dyDescent="0.2">
      <c r="A1079" s="286"/>
      <c r="B1079" s="287"/>
      <c r="C1079" s="288"/>
      <c r="D1079" s="87"/>
      <c r="E1079" s="87"/>
      <c r="F1079" s="87"/>
      <c r="G1079" s="87"/>
      <c r="H1079" s="289"/>
      <c r="I1079" s="289"/>
      <c r="J1079" s="87"/>
      <c r="K1079" s="87"/>
      <c r="L1079" s="87"/>
      <c r="M1079" s="289"/>
      <c r="N1079" s="87"/>
      <c r="O1079" s="87"/>
      <c r="P1079" s="87"/>
      <c r="Q1079" s="87"/>
      <c r="R1079" s="289"/>
      <c r="S1079" s="87"/>
      <c r="T1079" s="87"/>
      <c r="U1079" s="87"/>
      <c r="V1079" s="87"/>
      <c r="W1079" s="289"/>
    </row>
    <row r="1080" spans="1:23" s="290" customFormat="1" x14ac:dyDescent="0.2">
      <c r="A1080" s="286"/>
      <c r="B1080" s="287"/>
      <c r="C1080" s="288"/>
      <c r="D1080" s="87"/>
      <c r="E1080" s="87"/>
      <c r="F1080" s="87"/>
      <c r="G1080" s="87"/>
      <c r="H1080" s="289"/>
      <c r="I1080" s="289"/>
      <c r="J1080" s="87"/>
      <c r="K1080" s="87"/>
      <c r="L1080" s="87"/>
      <c r="M1080" s="289"/>
      <c r="N1080" s="87"/>
      <c r="O1080" s="87"/>
      <c r="P1080" s="87"/>
      <c r="Q1080" s="87"/>
      <c r="R1080" s="289"/>
      <c r="S1080" s="87"/>
      <c r="T1080" s="87"/>
      <c r="U1080" s="87"/>
      <c r="V1080" s="87"/>
      <c r="W1080" s="289"/>
    </row>
    <row r="1081" spans="1:23" s="290" customFormat="1" x14ac:dyDescent="0.2">
      <c r="A1081" s="286"/>
      <c r="B1081" s="287"/>
      <c r="C1081" s="288"/>
      <c r="D1081" s="87"/>
      <c r="E1081" s="87"/>
      <c r="F1081" s="87"/>
      <c r="G1081" s="87"/>
      <c r="H1081" s="289"/>
      <c r="I1081" s="289"/>
      <c r="J1081" s="87"/>
      <c r="K1081" s="87"/>
      <c r="L1081" s="87"/>
      <c r="M1081" s="289"/>
      <c r="N1081" s="87"/>
      <c r="O1081" s="87"/>
      <c r="P1081" s="87"/>
      <c r="Q1081" s="87"/>
      <c r="R1081" s="289"/>
      <c r="S1081" s="87"/>
      <c r="T1081" s="87"/>
      <c r="U1081" s="87"/>
      <c r="V1081" s="87"/>
      <c r="W1081" s="289"/>
    </row>
    <row r="1082" spans="1:23" s="290" customFormat="1" x14ac:dyDescent="0.2">
      <c r="A1082" s="286"/>
      <c r="B1082" s="287"/>
      <c r="C1082" s="288"/>
      <c r="D1082" s="87"/>
      <c r="E1082" s="87"/>
      <c r="F1082" s="87"/>
      <c r="G1082" s="87"/>
      <c r="H1082" s="289"/>
      <c r="I1082" s="289"/>
      <c r="J1082" s="87"/>
      <c r="K1082" s="87"/>
      <c r="L1082" s="87"/>
      <c r="M1082" s="289"/>
      <c r="N1082" s="87"/>
      <c r="O1082" s="87"/>
      <c r="P1082" s="87"/>
      <c r="Q1082" s="87"/>
      <c r="R1082" s="289"/>
      <c r="S1082" s="87"/>
      <c r="T1082" s="87"/>
      <c r="U1082" s="87"/>
      <c r="V1082" s="87"/>
      <c r="W1082" s="289"/>
    </row>
    <row r="1083" spans="1:23" s="290" customFormat="1" x14ac:dyDescent="0.2">
      <c r="A1083" s="286"/>
      <c r="B1083" s="287"/>
      <c r="C1083" s="288"/>
      <c r="D1083" s="87"/>
      <c r="E1083" s="87"/>
      <c r="F1083" s="87"/>
      <c r="G1083" s="87"/>
      <c r="H1083" s="289"/>
      <c r="I1083" s="289"/>
      <c r="J1083" s="87"/>
      <c r="K1083" s="87"/>
      <c r="L1083" s="87"/>
      <c r="M1083" s="289"/>
      <c r="N1083" s="87"/>
      <c r="O1083" s="87"/>
      <c r="P1083" s="87"/>
      <c r="Q1083" s="87"/>
      <c r="R1083" s="289"/>
      <c r="S1083" s="87"/>
      <c r="T1083" s="87"/>
      <c r="U1083" s="87"/>
      <c r="V1083" s="87"/>
      <c r="W1083" s="289"/>
    </row>
    <row r="1084" spans="1:23" s="290" customFormat="1" x14ac:dyDescent="0.2">
      <c r="A1084" s="286"/>
      <c r="B1084" s="287"/>
      <c r="C1084" s="288"/>
      <c r="D1084" s="87"/>
      <c r="E1084" s="87"/>
      <c r="F1084" s="87"/>
      <c r="G1084" s="87"/>
      <c r="H1084" s="289"/>
      <c r="I1084" s="289"/>
      <c r="J1084" s="87"/>
      <c r="K1084" s="87"/>
      <c r="L1084" s="87"/>
      <c r="M1084" s="289"/>
      <c r="N1084" s="87"/>
      <c r="O1084" s="87"/>
      <c r="P1084" s="87"/>
      <c r="Q1084" s="87"/>
      <c r="R1084" s="289"/>
      <c r="S1084" s="87"/>
      <c r="T1084" s="87"/>
      <c r="U1084" s="87"/>
      <c r="V1084" s="87"/>
      <c r="W1084" s="289"/>
    </row>
    <row r="1085" spans="1:23" s="290" customFormat="1" x14ac:dyDescent="0.2">
      <c r="A1085" s="286"/>
      <c r="B1085" s="287"/>
      <c r="C1085" s="288"/>
      <c r="D1085" s="87"/>
      <c r="E1085" s="87"/>
      <c r="F1085" s="87"/>
      <c r="G1085" s="87"/>
      <c r="H1085" s="289"/>
      <c r="I1085" s="289"/>
      <c r="J1085" s="87"/>
      <c r="K1085" s="87"/>
      <c r="L1085" s="87"/>
      <c r="M1085" s="289"/>
      <c r="N1085" s="87"/>
      <c r="O1085" s="87"/>
      <c r="P1085" s="87"/>
      <c r="Q1085" s="87"/>
      <c r="R1085" s="289"/>
      <c r="S1085" s="87"/>
      <c r="T1085" s="87"/>
      <c r="U1085" s="87"/>
      <c r="V1085" s="87"/>
      <c r="W1085" s="289"/>
    </row>
    <row r="1086" spans="1:23" s="290" customFormat="1" x14ac:dyDescent="0.2">
      <c r="A1086" s="286"/>
      <c r="B1086" s="287"/>
      <c r="C1086" s="288"/>
      <c r="D1086" s="87"/>
      <c r="E1086" s="87"/>
      <c r="F1086" s="87"/>
      <c r="G1086" s="87"/>
      <c r="H1086" s="289"/>
      <c r="I1086" s="289"/>
      <c r="J1086" s="87"/>
      <c r="K1086" s="87"/>
      <c r="L1086" s="87"/>
      <c r="M1086" s="289"/>
      <c r="N1086" s="87"/>
      <c r="O1086" s="87"/>
      <c r="P1086" s="87"/>
      <c r="Q1086" s="87"/>
      <c r="R1086" s="289"/>
      <c r="S1086" s="87"/>
      <c r="T1086" s="87"/>
      <c r="U1086" s="87"/>
      <c r="V1086" s="87"/>
      <c r="W1086" s="289"/>
    </row>
    <row r="1087" spans="1:23" s="290" customFormat="1" x14ac:dyDescent="0.2">
      <c r="A1087" s="286"/>
      <c r="B1087" s="287"/>
      <c r="C1087" s="288"/>
      <c r="D1087" s="87"/>
      <c r="E1087" s="87"/>
      <c r="F1087" s="87"/>
      <c r="G1087" s="87"/>
      <c r="H1087" s="289"/>
      <c r="I1087" s="289"/>
      <c r="J1087" s="87"/>
      <c r="K1087" s="87"/>
      <c r="L1087" s="87"/>
      <c r="M1087" s="289"/>
      <c r="N1087" s="87"/>
      <c r="O1087" s="87"/>
      <c r="P1087" s="87"/>
      <c r="Q1087" s="87"/>
      <c r="R1087" s="289"/>
      <c r="S1087" s="87"/>
      <c r="T1087" s="87"/>
      <c r="U1087" s="87"/>
      <c r="V1087" s="87"/>
      <c r="W1087" s="289"/>
    </row>
    <row r="1088" spans="1:23" s="290" customFormat="1" x14ac:dyDescent="0.2">
      <c r="A1088" s="286"/>
      <c r="B1088" s="287"/>
      <c r="C1088" s="288"/>
      <c r="D1088" s="87"/>
      <c r="E1088" s="87"/>
      <c r="F1088" s="87"/>
      <c r="G1088" s="87"/>
      <c r="H1088" s="289"/>
      <c r="I1088" s="289"/>
      <c r="J1088" s="87"/>
      <c r="K1088" s="87"/>
      <c r="L1088" s="87"/>
      <c r="M1088" s="289"/>
      <c r="N1088" s="87"/>
      <c r="O1088" s="87"/>
      <c r="P1088" s="87"/>
      <c r="Q1088" s="87"/>
      <c r="R1088" s="289"/>
      <c r="S1088" s="87"/>
      <c r="T1088" s="87"/>
      <c r="U1088" s="87"/>
      <c r="V1088" s="87"/>
      <c r="W1088" s="289"/>
    </row>
    <row r="1089" spans="1:23" s="290" customFormat="1" x14ac:dyDescent="0.2">
      <c r="A1089" s="286"/>
      <c r="B1089" s="287"/>
      <c r="C1089" s="288"/>
      <c r="D1089" s="87"/>
      <c r="E1089" s="87"/>
      <c r="F1089" s="87"/>
      <c r="G1089" s="87"/>
      <c r="H1089" s="289"/>
      <c r="I1089" s="289"/>
      <c r="J1089" s="87"/>
      <c r="K1089" s="87"/>
      <c r="L1089" s="87"/>
      <c r="M1089" s="289"/>
      <c r="N1089" s="87"/>
      <c r="O1089" s="87"/>
      <c r="P1089" s="87"/>
      <c r="Q1089" s="87"/>
      <c r="R1089" s="289"/>
      <c r="S1089" s="87"/>
      <c r="T1089" s="87"/>
      <c r="U1089" s="87"/>
      <c r="V1089" s="87"/>
      <c r="W1089" s="289"/>
    </row>
    <row r="1090" spans="1:23" s="290" customFormat="1" x14ac:dyDescent="0.2">
      <c r="A1090" s="286"/>
      <c r="B1090" s="287"/>
      <c r="C1090" s="288"/>
      <c r="D1090" s="87"/>
      <c r="E1090" s="87"/>
      <c r="F1090" s="87"/>
      <c r="G1090" s="87"/>
      <c r="H1090" s="289"/>
      <c r="I1090" s="289"/>
      <c r="J1090" s="87"/>
      <c r="K1090" s="87"/>
      <c r="L1090" s="87"/>
      <c r="M1090" s="289"/>
      <c r="N1090" s="87"/>
      <c r="O1090" s="87"/>
      <c r="P1090" s="87"/>
      <c r="Q1090" s="87"/>
      <c r="R1090" s="289"/>
      <c r="S1090" s="87"/>
      <c r="T1090" s="87"/>
      <c r="U1090" s="87"/>
      <c r="V1090" s="87"/>
      <c r="W1090" s="289"/>
    </row>
    <row r="1091" spans="1:23" s="290" customFormat="1" x14ac:dyDescent="0.2">
      <c r="A1091" s="286"/>
      <c r="B1091" s="287"/>
      <c r="C1091" s="288"/>
      <c r="D1091" s="87"/>
      <c r="E1091" s="87"/>
      <c r="F1091" s="87"/>
      <c r="G1091" s="87"/>
      <c r="H1091" s="289"/>
      <c r="I1091" s="289"/>
      <c r="J1091" s="87"/>
      <c r="K1091" s="87"/>
      <c r="L1091" s="87"/>
      <c r="M1091" s="289"/>
      <c r="N1091" s="87"/>
      <c r="O1091" s="87"/>
      <c r="P1091" s="87"/>
      <c r="Q1091" s="87"/>
      <c r="R1091" s="289"/>
      <c r="S1091" s="87"/>
      <c r="T1091" s="87"/>
      <c r="U1091" s="87"/>
      <c r="V1091" s="87"/>
      <c r="W1091" s="289"/>
    </row>
    <row r="1092" spans="1:23" s="290" customFormat="1" x14ac:dyDescent="0.2">
      <c r="A1092" s="286"/>
      <c r="B1092" s="287"/>
      <c r="C1092" s="288"/>
      <c r="D1092" s="87"/>
      <c r="E1092" s="87"/>
      <c r="F1092" s="87"/>
      <c r="G1092" s="87"/>
      <c r="H1092" s="289"/>
      <c r="I1092" s="289"/>
      <c r="J1092" s="87"/>
      <c r="K1092" s="87"/>
      <c r="L1092" s="87"/>
      <c r="M1092" s="289"/>
      <c r="N1092" s="87"/>
      <c r="O1092" s="87"/>
      <c r="P1092" s="87"/>
      <c r="Q1092" s="87"/>
      <c r="R1092" s="289"/>
      <c r="S1092" s="87"/>
      <c r="T1092" s="87"/>
      <c r="U1092" s="87"/>
      <c r="V1092" s="87"/>
      <c r="W1092" s="289"/>
    </row>
    <row r="1093" spans="1:23" s="290" customFormat="1" x14ac:dyDescent="0.2">
      <c r="A1093" s="286"/>
      <c r="B1093" s="287"/>
      <c r="C1093" s="288"/>
      <c r="D1093" s="87"/>
      <c r="E1093" s="87"/>
      <c r="F1093" s="87"/>
      <c r="G1093" s="87"/>
      <c r="H1093" s="289"/>
      <c r="I1093" s="289"/>
      <c r="J1093" s="87"/>
      <c r="K1093" s="87"/>
      <c r="L1093" s="87"/>
      <c r="M1093" s="289"/>
      <c r="N1093" s="87"/>
      <c r="O1093" s="87"/>
      <c r="P1093" s="87"/>
      <c r="Q1093" s="87"/>
      <c r="R1093" s="289"/>
      <c r="S1093" s="87"/>
      <c r="T1093" s="87"/>
      <c r="U1093" s="87"/>
      <c r="V1093" s="87"/>
      <c r="W1093" s="289"/>
    </row>
    <row r="1094" spans="1:23" s="290" customFormat="1" x14ac:dyDescent="0.2">
      <c r="A1094" s="286"/>
      <c r="B1094" s="287"/>
      <c r="C1094" s="288"/>
      <c r="D1094" s="87"/>
      <c r="E1094" s="87"/>
      <c r="F1094" s="87"/>
      <c r="G1094" s="87"/>
      <c r="H1094" s="289"/>
      <c r="I1094" s="289"/>
      <c r="J1094" s="87"/>
      <c r="K1094" s="87"/>
      <c r="L1094" s="87"/>
      <c r="M1094" s="289"/>
      <c r="N1094" s="87"/>
      <c r="O1094" s="87"/>
      <c r="P1094" s="87"/>
      <c r="Q1094" s="87"/>
      <c r="R1094" s="289"/>
      <c r="S1094" s="87"/>
      <c r="T1094" s="87"/>
      <c r="U1094" s="87"/>
      <c r="V1094" s="87"/>
      <c r="W1094" s="289"/>
    </row>
    <row r="1095" spans="1:23" s="290" customFormat="1" x14ac:dyDescent="0.2">
      <c r="A1095" s="286"/>
      <c r="B1095" s="287"/>
      <c r="C1095" s="288"/>
      <c r="D1095" s="87"/>
      <c r="E1095" s="87"/>
      <c r="F1095" s="87"/>
      <c r="G1095" s="87"/>
      <c r="H1095" s="289"/>
      <c r="I1095" s="289"/>
      <c r="J1095" s="87"/>
      <c r="K1095" s="87"/>
      <c r="L1095" s="87"/>
      <c r="M1095" s="289"/>
      <c r="N1095" s="87"/>
      <c r="O1095" s="87"/>
      <c r="P1095" s="87"/>
      <c r="Q1095" s="87"/>
      <c r="R1095" s="289"/>
      <c r="S1095" s="87"/>
      <c r="T1095" s="87"/>
      <c r="U1095" s="87"/>
      <c r="V1095" s="87"/>
      <c r="W1095" s="289"/>
    </row>
    <row r="1096" spans="1:23" s="290" customFormat="1" x14ac:dyDescent="0.2">
      <c r="A1096" s="286"/>
      <c r="B1096" s="287"/>
      <c r="C1096" s="288"/>
      <c r="D1096" s="87"/>
      <c r="E1096" s="87"/>
      <c r="F1096" s="87"/>
      <c r="G1096" s="87"/>
      <c r="H1096" s="289"/>
      <c r="I1096" s="289"/>
      <c r="J1096" s="87"/>
      <c r="K1096" s="87"/>
      <c r="L1096" s="87"/>
      <c r="M1096" s="289"/>
      <c r="N1096" s="87"/>
      <c r="O1096" s="87"/>
      <c r="P1096" s="87"/>
      <c r="Q1096" s="87"/>
      <c r="R1096" s="289"/>
      <c r="S1096" s="87"/>
      <c r="T1096" s="87"/>
      <c r="U1096" s="87"/>
      <c r="V1096" s="87"/>
      <c r="W1096" s="289"/>
    </row>
    <row r="1097" spans="1:23" s="290" customFormat="1" x14ac:dyDescent="0.2">
      <c r="A1097" s="286"/>
      <c r="B1097" s="287"/>
      <c r="C1097" s="288"/>
      <c r="D1097" s="87"/>
      <c r="E1097" s="87"/>
      <c r="F1097" s="87"/>
      <c r="G1097" s="87"/>
      <c r="H1097" s="289"/>
      <c r="I1097" s="289"/>
      <c r="J1097" s="87"/>
      <c r="K1097" s="87"/>
      <c r="L1097" s="87"/>
      <c r="M1097" s="289"/>
      <c r="N1097" s="87"/>
      <c r="O1097" s="87"/>
      <c r="P1097" s="87"/>
      <c r="Q1097" s="87"/>
      <c r="R1097" s="289"/>
      <c r="S1097" s="87"/>
      <c r="T1097" s="87"/>
      <c r="U1097" s="87"/>
      <c r="V1097" s="87"/>
      <c r="W1097" s="289"/>
    </row>
    <row r="1098" spans="1:23" s="290" customFormat="1" x14ac:dyDescent="0.2">
      <c r="A1098" s="286"/>
      <c r="B1098" s="287"/>
      <c r="C1098" s="288"/>
      <c r="D1098" s="87"/>
      <c r="E1098" s="87"/>
      <c r="F1098" s="87"/>
      <c r="G1098" s="87"/>
      <c r="H1098" s="289"/>
      <c r="I1098" s="289"/>
      <c r="J1098" s="87"/>
      <c r="K1098" s="87"/>
      <c r="L1098" s="87"/>
      <c r="M1098" s="289"/>
      <c r="N1098" s="87"/>
      <c r="O1098" s="87"/>
      <c r="P1098" s="87"/>
      <c r="Q1098" s="87"/>
      <c r="R1098" s="289"/>
      <c r="S1098" s="87"/>
      <c r="T1098" s="87"/>
      <c r="U1098" s="87"/>
      <c r="V1098" s="87"/>
      <c r="W1098" s="289"/>
    </row>
    <row r="1099" spans="1:23" s="290" customFormat="1" x14ac:dyDescent="0.2">
      <c r="A1099" s="286"/>
      <c r="B1099" s="287"/>
      <c r="C1099" s="288"/>
      <c r="D1099" s="87"/>
      <c r="E1099" s="87"/>
      <c r="F1099" s="87"/>
      <c r="G1099" s="87"/>
      <c r="H1099" s="289"/>
      <c r="I1099" s="289"/>
      <c r="J1099" s="87"/>
      <c r="K1099" s="87"/>
      <c r="L1099" s="87"/>
      <c r="M1099" s="289"/>
      <c r="N1099" s="87"/>
      <c r="O1099" s="87"/>
      <c r="P1099" s="87"/>
      <c r="Q1099" s="87"/>
      <c r="R1099" s="289"/>
      <c r="S1099" s="87"/>
      <c r="T1099" s="87"/>
      <c r="U1099" s="87"/>
      <c r="V1099" s="87"/>
      <c r="W1099" s="289"/>
    </row>
    <row r="1100" spans="1:23" s="290" customFormat="1" x14ac:dyDescent="0.2">
      <c r="A1100" s="286"/>
      <c r="B1100" s="287"/>
      <c r="C1100" s="288"/>
      <c r="D1100" s="87"/>
      <c r="E1100" s="87"/>
      <c r="F1100" s="87"/>
      <c r="G1100" s="87"/>
      <c r="H1100" s="289"/>
      <c r="I1100" s="289"/>
      <c r="J1100" s="87"/>
      <c r="K1100" s="87"/>
      <c r="L1100" s="87"/>
      <c r="M1100" s="289"/>
      <c r="N1100" s="87"/>
      <c r="O1100" s="87"/>
      <c r="P1100" s="87"/>
      <c r="Q1100" s="87"/>
      <c r="R1100" s="289"/>
      <c r="S1100" s="87"/>
      <c r="T1100" s="87"/>
      <c r="U1100" s="87"/>
      <c r="V1100" s="87"/>
      <c r="W1100" s="289"/>
    </row>
    <row r="1101" spans="1:23" s="290" customFormat="1" x14ac:dyDescent="0.2">
      <c r="A1101" s="286"/>
      <c r="B1101" s="287"/>
      <c r="C1101" s="288"/>
      <c r="D1101" s="87"/>
      <c r="E1101" s="87"/>
      <c r="F1101" s="87"/>
      <c r="G1101" s="87"/>
      <c r="H1101" s="289"/>
      <c r="I1101" s="289"/>
      <c r="J1101" s="87"/>
      <c r="K1101" s="87"/>
      <c r="L1101" s="87"/>
      <c r="M1101" s="289"/>
      <c r="N1101" s="87"/>
      <c r="O1101" s="87"/>
      <c r="P1101" s="87"/>
      <c r="Q1101" s="87"/>
      <c r="R1101" s="289"/>
      <c r="S1101" s="87"/>
      <c r="T1101" s="87"/>
      <c r="U1101" s="87"/>
      <c r="V1101" s="87"/>
      <c r="W1101" s="289"/>
    </row>
    <row r="1102" spans="1:23" s="290" customFormat="1" x14ac:dyDescent="0.2">
      <c r="A1102" s="286"/>
      <c r="B1102" s="287"/>
      <c r="C1102" s="288"/>
      <c r="D1102" s="87"/>
      <c r="E1102" s="87"/>
      <c r="F1102" s="87"/>
      <c r="G1102" s="87"/>
      <c r="H1102" s="289"/>
      <c r="I1102" s="289"/>
      <c r="J1102" s="87"/>
      <c r="K1102" s="87"/>
      <c r="L1102" s="87"/>
      <c r="M1102" s="289"/>
      <c r="N1102" s="87"/>
      <c r="O1102" s="87"/>
      <c r="P1102" s="87"/>
      <c r="Q1102" s="87"/>
      <c r="R1102" s="289"/>
      <c r="S1102" s="87"/>
      <c r="T1102" s="87"/>
      <c r="U1102" s="87"/>
      <c r="V1102" s="87"/>
      <c r="W1102" s="289"/>
    </row>
    <row r="1103" spans="1:23" s="290" customFormat="1" x14ac:dyDescent="0.2">
      <c r="A1103" s="286"/>
      <c r="B1103" s="287"/>
      <c r="C1103" s="288"/>
      <c r="D1103" s="87"/>
      <c r="E1103" s="87"/>
      <c r="F1103" s="87"/>
      <c r="G1103" s="87"/>
      <c r="H1103" s="289"/>
      <c r="I1103" s="289"/>
      <c r="J1103" s="87"/>
      <c r="K1103" s="87"/>
      <c r="L1103" s="87"/>
      <c r="M1103" s="289"/>
      <c r="N1103" s="87"/>
      <c r="O1103" s="87"/>
      <c r="P1103" s="87"/>
      <c r="Q1103" s="87"/>
      <c r="R1103" s="289"/>
      <c r="S1103" s="87"/>
      <c r="T1103" s="87"/>
      <c r="U1103" s="87"/>
      <c r="V1103" s="87"/>
      <c r="W1103" s="289"/>
    </row>
    <row r="1104" spans="1:23" s="290" customFormat="1" x14ac:dyDescent="0.2">
      <c r="A1104" s="286"/>
      <c r="B1104" s="287"/>
      <c r="C1104" s="288"/>
      <c r="D1104" s="87"/>
      <c r="E1104" s="87"/>
      <c r="F1104" s="87"/>
      <c r="G1104" s="87"/>
      <c r="H1104" s="289"/>
      <c r="I1104" s="289"/>
      <c r="J1104" s="87"/>
      <c r="K1104" s="87"/>
      <c r="L1104" s="87"/>
      <c r="M1104" s="289"/>
      <c r="N1104" s="87"/>
      <c r="O1104" s="87"/>
      <c r="P1104" s="87"/>
      <c r="Q1104" s="87"/>
      <c r="R1104" s="289"/>
      <c r="S1104" s="87"/>
      <c r="T1104" s="87"/>
      <c r="U1104" s="87"/>
      <c r="V1104" s="87"/>
      <c r="W1104" s="289"/>
    </row>
    <row r="1105" spans="1:23" s="290" customFormat="1" x14ac:dyDescent="0.2">
      <c r="A1105" s="286"/>
      <c r="B1105" s="287"/>
      <c r="C1105" s="288"/>
      <c r="D1105" s="87"/>
      <c r="E1105" s="87"/>
      <c r="F1105" s="87"/>
      <c r="G1105" s="87"/>
      <c r="H1105" s="289"/>
      <c r="I1105" s="289"/>
      <c r="J1105" s="87"/>
      <c r="K1105" s="87"/>
      <c r="L1105" s="87"/>
      <c r="M1105" s="289"/>
      <c r="N1105" s="87"/>
      <c r="O1105" s="87"/>
      <c r="P1105" s="87"/>
      <c r="Q1105" s="87"/>
      <c r="R1105" s="289"/>
      <c r="S1105" s="87"/>
      <c r="T1105" s="87"/>
      <c r="U1105" s="87"/>
      <c r="V1105" s="87"/>
      <c r="W1105" s="289"/>
    </row>
    <row r="1106" spans="1:23" s="290" customFormat="1" x14ac:dyDescent="0.2">
      <c r="A1106" s="286"/>
      <c r="B1106" s="287"/>
      <c r="C1106" s="288"/>
      <c r="D1106" s="87"/>
      <c r="E1106" s="87"/>
      <c r="F1106" s="87"/>
      <c r="G1106" s="87"/>
      <c r="H1106" s="289"/>
      <c r="I1106" s="289"/>
      <c r="J1106" s="87"/>
      <c r="K1106" s="87"/>
      <c r="L1106" s="87"/>
      <c r="M1106" s="289"/>
      <c r="N1106" s="87"/>
      <c r="O1106" s="87"/>
      <c r="P1106" s="87"/>
      <c r="Q1106" s="87"/>
      <c r="R1106" s="289"/>
      <c r="S1106" s="87"/>
      <c r="T1106" s="87"/>
      <c r="U1106" s="87"/>
      <c r="V1106" s="87"/>
      <c r="W1106" s="289"/>
    </row>
    <row r="1107" spans="1:23" s="290" customFormat="1" x14ac:dyDescent="0.2">
      <c r="A1107" s="286"/>
      <c r="B1107" s="287"/>
      <c r="C1107" s="288"/>
      <c r="D1107" s="87"/>
      <c r="E1107" s="87"/>
      <c r="F1107" s="87"/>
      <c r="G1107" s="87"/>
      <c r="H1107" s="289"/>
      <c r="I1107" s="289"/>
      <c r="J1107" s="87"/>
      <c r="K1107" s="87"/>
      <c r="L1107" s="87"/>
      <c r="M1107" s="289"/>
      <c r="N1107" s="87"/>
      <c r="O1107" s="87"/>
      <c r="P1107" s="87"/>
      <c r="Q1107" s="87"/>
      <c r="R1107" s="289"/>
      <c r="S1107" s="87"/>
      <c r="T1107" s="87"/>
      <c r="U1107" s="87"/>
      <c r="V1107" s="87"/>
      <c r="W1107" s="289"/>
    </row>
    <row r="1108" spans="1:23" s="290" customFormat="1" x14ac:dyDescent="0.2">
      <c r="A1108" s="286"/>
      <c r="B1108" s="287"/>
      <c r="C1108" s="288"/>
      <c r="D1108" s="87"/>
      <c r="E1108" s="87"/>
      <c r="F1108" s="87"/>
      <c r="G1108" s="87"/>
      <c r="H1108" s="289"/>
      <c r="I1108" s="289"/>
      <c r="J1108" s="87"/>
      <c r="K1108" s="87"/>
      <c r="L1108" s="87"/>
      <c r="M1108" s="289"/>
      <c r="N1108" s="87"/>
      <c r="O1108" s="87"/>
      <c r="P1108" s="87"/>
      <c r="Q1108" s="87"/>
      <c r="R1108" s="289"/>
      <c r="S1108" s="87"/>
      <c r="T1108" s="87"/>
      <c r="U1108" s="87"/>
      <c r="V1108" s="87"/>
      <c r="W1108" s="289"/>
    </row>
    <row r="1109" spans="1:23" s="290" customFormat="1" x14ac:dyDescent="0.2">
      <c r="A1109" s="286"/>
      <c r="B1109" s="287"/>
      <c r="C1109" s="288"/>
      <c r="D1109" s="87"/>
      <c r="E1109" s="87"/>
      <c r="F1109" s="87"/>
      <c r="G1109" s="87"/>
      <c r="H1109" s="289"/>
      <c r="I1109" s="289"/>
      <c r="J1109" s="87"/>
      <c r="K1109" s="87"/>
      <c r="L1109" s="87"/>
      <c r="M1109" s="289"/>
      <c r="N1109" s="87"/>
      <c r="O1109" s="87"/>
      <c r="P1109" s="87"/>
      <c r="Q1109" s="87"/>
      <c r="R1109" s="289"/>
      <c r="S1109" s="87"/>
      <c r="T1109" s="87"/>
      <c r="U1109" s="87"/>
      <c r="V1109" s="87"/>
      <c r="W1109" s="289"/>
    </row>
    <row r="1110" spans="1:23" s="290" customFormat="1" x14ac:dyDescent="0.2">
      <c r="A1110" s="286"/>
      <c r="B1110" s="287"/>
      <c r="C1110" s="288"/>
      <c r="D1110" s="87"/>
      <c r="E1110" s="87"/>
      <c r="F1110" s="87"/>
      <c r="G1110" s="87"/>
      <c r="H1110" s="289"/>
      <c r="I1110" s="289"/>
      <c r="J1110" s="87"/>
      <c r="K1110" s="87"/>
      <c r="L1110" s="87"/>
      <c r="M1110" s="289"/>
      <c r="N1110" s="87"/>
      <c r="O1110" s="87"/>
      <c r="P1110" s="87"/>
      <c r="Q1110" s="87"/>
      <c r="R1110" s="289"/>
      <c r="S1110" s="87"/>
      <c r="T1110" s="87"/>
      <c r="U1110" s="87"/>
      <c r="V1110" s="87"/>
      <c r="W1110" s="289"/>
    </row>
    <row r="1111" spans="1:23" s="290" customFormat="1" x14ac:dyDescent="0.2">
      <c r="A1111" s="286"/>
      <c r="B1111" s="287"/>
      <c r="C1111" s="288"/>
      <c r="D1111" s="87"/>
      <c r="E1111" s="87"/>
      <c r="F1111" s="87"/>
      <c r="G1111" s="87"/>
      <c r="H1111" s="289"/>
      <c r="I1111" s="289"/>
      <c r="J1111" s="87"/>
      <c r="K1111" s="87"/>
      <c r="L1111" s="87"/>
      <c r="M1111" s="289"/>
      <c r="N1111" s="87"/>
      <c r="O1111" s="87"/>
      <c r="P1111" s="87"/>
      <c r="Q1111" s="87"/>
      <c r="R1111" s="289"/>
      <c r="S1111" s="87"/>
      <c r="T1111" s="87"/>
      <c r="U1111" s="87"/>
      <c r="V1111" s="87"/>
      <c r="W1111" s="289"/>
    </row>
    <row r="1112" spans="1:23" s="290" customFormat="1" x14ac:dyDescent="0.2">
      <c r="A1112" s="286"/>
      <c r="B1112" s="287"/>
      <c r="C1112" s="288"/>
      <c r="D1112" s="87"/>
      <c r="E1112" s="87"/>
      <c r="F1112" s="87"/>
      <c r="G1112" s="87"/>
      <c r="H1112" s="289"/>
      <c r="I1112" s="289"/>
      <c r="J1112" s="87"/>
      <c r="K1112" s="87"/>
      <c r="L1112" s="87"/>
      <c r="M1112" s="289"/>
      <c r="N1112" s="87"/>
      <c r="O1112" s="87"/>
      <c r="P1112" s="87"/>
      <c r="Q1112" s="87"/>
      <c r="R1112" s="289"/>
      <c r="S1112" s="87"/>
      <c r="T1112" s="87"/>
      <c r="U1112" s="87"/>
      <c r="V1112" s="87"/>
      <c r="W1112" s="289"/>
    </row>
    <row r="1113" spans="1:23" s="290" customFormat="1" x14ac:dyDescent="0.2">
      <c r="A1113" s="286"/>
      <c r="B1113" s="287"/>
      <c r="C1113" s="288"/>
      <c r="D1113" s="87"/>
      <c r="E1113" s="87"/>
      <c r="F1113" s="87"/>
      <c r="G1113" s="87"/>
      <c r="H1113" s="289"/>
      <c r="I1113" s="289"/>
      <c r="J1113" s="87"/>
      <c r="K1113" s="87"/>
      <c r="L1113" s="87"/>
      <c r="M1113" s="289"/>
      <c r="N1113" s="87"/>
      <c r="O1113" s="87"/>
      <c r="P1113" s="87"/>
      <c r="Q1113" s="87"/>
      <c r="R1113" s="289"/>
      <c r="S1113" s="87"/>
      <c r="T1113" s="87"/>
      <c r="U1113" s="87"/>
      <c r="V1113" s="87"/>
      <c r="W1113" s="289"/>
    </row>
    <row r="1114" spans="1:23" s="290" customFormat="1" x14ac:dyDescent="0.2">
      <c r="A1114" s="286"/>
      <c r="B1114" s="287"/>
      <c r="C1114" s="288"/>
      <c r="D1114" s="87"/>
      <c r="E1114" s="87"/>
      <c r="F1114" s="87"/>
      <c r="G1114" s="87"/>
      <c r="H1114" s="289"/>
      <c r="I1114" s="289"/>
      <c r="J1114" s="87"/>
      <c r="K1114" s="87"/>
      <c r="L1114" s="87"/>
      <c r="M1114" s="289"/>
      <c r="N1114" s="87"/>
      <c r="O1114" s="87"/>
      <c r="P1114" s="87"/>
      <c r="Q1114" s="87"/>
      <c r="R1114" s="289"/>
      <c r="S1114" s="87"/>
      <c r="T1114" s="87"/>
      <c r="U1114" s="87"/>
      <c r="V1114" s="87"/>
      <c r="W1114" s="289"/>
    </row>
    <row r="1115" spans="1:23" s="290" customFormat="1" x14ac:dyDescent="0.2">
      <c r="A1115" s="286"/>
      <c r="B1115" s="287"/>
      <c r="C1115" s="288"/>
      <c r="D1115" s="87"/>
      <c r="E1115" s="87"/>
      <c r="F1115" s="87"/>
      <c r="G1115" s="87"/>
      <c r="H1115" s="289"/>
      <c r="I1115" s="289"/>
      <c r="J1115" s="87"/>
      <c r="K1115" s="87"/>
      <c r="L1115" s="87"/>
      <c r="M1115" s="289"/>
      <c r="N1115" s="87"/>
      <c r="O1115" s="87"/>
      <c r="P1115" s="87"/>
      <c r="Q1115" s="87"/>
      <c r="R1115" s="289"/>
      <c r="S1115" s="87"/>
      <c r="T1115" s="87"/>
      <c r="U1115" s="87"/>
      <c r="V1115" s="87"/>
      <c r="W1115" s="289"/>
    </row>
    <row r="1116" spans="1:23" s="290" customFormat="1" x14ac:dyDescent="0.2">
      <c r="A1116" s="286"/>
      <c r="B1116" s="287"/>
      <c r="C1116" s="288"/>
      <c r="D1116" s="87"/>
      <c r="E1116" s="87"/>
      <c r="F1116" s="87"/>
      <c r="G1116" s="87"/>
      <c r="H1116" s="289"/>
      <c r="I1116" s="289"/>
      <c r="J1116" s="87"/>
      <c r="K1116" s="87"/>
      <c r="L1116" s="87"/>
      <c r="M1116" s="289"/>
      <c r="N1116" s="87"/>
      <c r="O1116" s="87"/>
      <c r="P1116" s="87"/>
      <c r="Q1116" s="87"/>
      <c r="R1116" s="289"/>
      <c r="S1116" s="87"/>
      <c r="T1116" s="87"/>
      <c r="U1116" s="87"/>
      <c r="V1116" s="87"/>
      <c r="W1116" s="289"/>
    </row>
    <row r="1117" spans="1:23" s="290" customFormat="1" x14ac:dyDescent="0.2">
      <c r="A1117" s="286"/>
      <c r="B1117" s="287"/>
      <c r="C1117" s="288"/>
      <c r="D1117" s="87"/>
      <c r="E1117" s="87"/>
      <c r="F1117" s="87"/>
      <c r="G1117" s="87"/>
      <c r="H1117" s="289"/>
      <c r="I1117" s="289"/>
      <c r="J1117" s="87"/>
      <c r="K1117" s="87"/>
      <c r="L1117" s="87"/>
      <c r="M1117" s="289"/>
      <c r="N1117" s="87"/>
      <c r="O1117" s="87"/>
      <c r="P1117" s="87"/>
      <c r="Q1117" s="87"/>
      <c r="R1117" s="289"/>
      <c r="S1117" s="87"/>
      <c r="T1117" s="87"/>
      <c r="U1117" s="87"/>
      <c r="V1117" s="87"/>
      <c r="W1117" s="289"/>
    </row>
    <row r="1118" spans="1:23" s="290" customFormat="1" x14ac:dyDescent="0.2">
      <c r="A1118" s="286"/>
      <c r="B1118" s="287"/>
      <c r="C1118" s="288"/>
      <c r="D1118" s="87"/>
      <c r="E1118" s="87"/>
      <c r="F1118" s="87"/>
      <c r="G1118" s="87"/>
      <c r="H1118" s="289"/>
      <c r="I1118" s="289"/>
      <c r="J1118" s="87"/>
      <c r="K1118" s="87"/>
      <c r="L1118" s="87"/>
      <c r="M1118" s="289"/>
      <c r="N1118" s="87"/>
      <c r="O1118" s="87"/>
      <c r="P1118" s="87"/>
      <c r="Q1118" s="87"/>
      <c r="R1118" s="289"/>
      <c r="S1118" s="87"/>
      <c r="T1118" s="87"/>
      <c r="U1118" s="87"/>
      <c r="V1118" s="87"/>
      <c r="W1118" s="289"/>
    </row>
    <row r="1119" spans="1:23" s="290" customFormat="1" x14ac:dyDescent="0.2">
      <c r="A1119" s="286"/>
      <c r="B1119" s="287"/>
      <c r="C1119" s="288"/>
      <c r="D1119" s="87"/>
      <c r="E1119" s="87"/>
      <c r="F1119" s="87"/>
      <c r="G1119" s="87"/>
      <c r="H1119" s="289"/>
      <c r="I1119" s="289"/>
      <c r="J1119" s="87"/>
      <c r="K1119" s="87"/>
      <c r="L1119" s="87"/>
      <c r="M1119" s="289"/>
      <c r="N1119" s="87"/>
      <c r="O1119" s="87"/>
      <c r="P1119" s="87"/>
      <c r="Q1119" s="87"/>
      <c r="R1119" s="289"/>
      <c r="S1119" s="87"/>
      <c r="T1119" s="87"/>
      <c r="U1119" s="87"/>
      <c r="V1119" s="87"/>
      <c r="W1119" s="289"/>
    </row>
    <row r="1120" spans="1:23" s="290" customFormat="1" x14ac:dyDescent="0.2">
      <c r="A1120" s="286"/>
      <c r="B1120" s="287"/>
      <c r="C1120" s="288"/>
      <c r="D1120" s="87"/>
      <c r="E1120" s="87"/>
      <c r="F1120" s="87"/>
      <c r="G1120" s="87"/>
      <c r="H1120" s="289"/>
      <c r="I1120" s="289"/>
      <c r="J1120" s="87"/>
      <c r="K1120" s="87"/>
      <c r="L1120" s="87"/>
      <c r="M1120" s="289"/>
      <c r="N1120" s="87"/>
      <c r="O1120" s="87"/>
      <c r="P1120" s="87"/>
      <c r="Q1120" s="87"/>
      <c r="R1120" s="289"/>
      <c r="S1120" s="87"/>
      <c r="T1120" s="87"/>
      <c r="U1120" s="87"/>
      <c r="V1120" s="87"/>
      <c r="W1120" s="289"/>
    </row>
    <row r="1121" spans="1:23" s="290" customFormat="1" x14ac:dyDescent="0.2">
      <c r="A1121" s="286"/>
      <c r="B1121" s="287"/>
      <c r="C1121" s="288"/>
      <c r="D1121" s="87"/>
      <c r="E1121" s="87"/>
      <c r="F1121" s="87"/>
      <c r="G1121" s="87"/>
      <c r="H1121" s="289"/>
      <c r="I1121" s="289"/>
      <c r="J1121" s="87"/>
      <c r="K1121" s="87"/>
      <c r="L1121" s="87"/>
      <c r="M1121" s="289"/>
      <c r="N1121" s="87"/>
      <c r="O1121" s="87"/>
      <c r="P1121" s="87"/>
      <c r="Q1121" s="87"/>
      <c r="R1121" s="289"/>
      <c r="S1121" s="87"/>
      <c r="T1121" s="87"/>
      <c r="U1121" s="87"/>
      <c r="V1121" s="87"/>
      <c r="W1121" s="289"/>
    </row>
    <row r="1122" spans="1:23" s="290" customFormat="1" x14ac:dyDescent="0.2">
      <c r="A1122" s="286"/>
      <c r="B1122" s="287"/>
      <c r="C1122" s="288"/>
      <c r="D1122" s="87"/>
      <c r="E1122" s="87"/>
      <c r="F1122" s="87"/>
      <c r="G1122" s="87"/>
      <c r="H1122" s="289"/>
      <c r="I1122" s="289"/>
      <c r="J1122" s="87"/>
      <c r="K1122" s="87"/>
      <c r="L1122" s="87"/>
      <c r="M1122" s="289"/>
      <c r="N1122" s="87"/>
      <c r="O1122" s="87"/>
      <c r="P1122" s="87"/>
      <c r="Q1122" s="87"/>
      <c r="R1122" s="289"/>
      <c r="S1122" s="87"/>
      <c r="T1122" s="87"/>
      <c r="U1122" s="87"/>
      <c r="V1122" s="87"/>
      <c r="W1122" s="289"/>
    </row>
    <row r="1123" spans="1:23" s="290" customFormat="1" x14ac:dyDescent="0.2">
      <c r="A1123" s="286"/>
      <c r="B1123" s="287"/>
      <c r="C1123" s="288"/>
      <c r="D1123" s="87"/>
      <c r="E1123" s="87"/>
      <c r="F1123" s="87"/>
      <c r="G1123" s="87"/>
      <c r="H1123" s="289"/>
      <c r="I1123" s="289"/>
      <c r="J1123" s="87"/>
      <c r="K1123" s="87"/>
      <c r="L1123" s="87"/>
      <c r="M1123" s="289"/>
      <c r="N1123" s="87"/>
      <c r="O1123" s="87"/>
      <c r="P1123" s="87"/>
      <c r="Q1123" s="87"/>
      <c r="R1123" s="289"/>
      <c r="S1123" s="87"/>
      <c r="T1123" s="87"/>
      <c r="U1123" s="87"/>
      <c r="V1123" s="87"/>
      <c r="W1123" s="289"/>
    </row>
    <row r="1124" spans="1:23" s="290" customFormat="1" x14ac:dyDescent="0.2">
      <c r="A1124" s="286"/>
      <c r="B1124" s="287"/>
      <c r="C1124" s="288"/>
      <c r="D1124" s="87"/>
      <c r="E1124" s="87"/>
      <c r="F1124" s="87"/>
      <c r="G1124" s="87"/>
      <c r="H1124" s="289"/>
      <c r="I1124" s="289"/>
      <c r="J1124" s="87"/>
      <c r="K1124" s="87"/>
      <c r="L1124" s="87"/>
      <c r="M1124" s="289"/>
      <c r="N1124" s="87"/>
      <c r="O1124" s="87"/>
      <c r="P1124" s="87"/>
      <c r="Q1124" s="87"/>
      <c r="R1124" s="289"/>
      <c r="S1124" s="87"/>
      <c r="T1124" s="87"/>
      <c r="U1124" s="87"/>
      <c r="V1124" s="87"/>
      <c r="W1124" s="289"/>
    </row>
    <row r="1125" spans="1:23" s="290" customFormat="1" x14ac:dyDescent="0.2">
      <c r="A1125" s="286"/>
      <c r="B1125" s="287"/>
      <c r="C1125" s="288"/>
      <c r="D1125" s="87"/>
      <c r="E1125" s="87"/>
      <c r="F1125" s="87"/>
      <c r="G1125" s="87"/>
      <c r="H1125" s="289"/>
      <c r="I1125" s="289"/>
      <c r="J1125" s="87"/>
      <c r="K1125" s="87"/>
      <c r="L1125" s="87"/>
      <c r="M1125" s="289"/>
      <c r="N1125" s="87"/>
      <c r="O1125" s="87"/>
      <c r="P1125" s="87"/>
      <c r="Q1125" s="87"/>
      <c r="R1125" s="289"/>
      <c r="S1125" s="87"/>
      <c r="T1125" s="87"/>
      <c r="U1125" s="87"/>
      <c r="V1125" s="87"/>
      <c r="W1125" s="289"/>
    </row>
    <row r="1126" spans="1:23" s="290" customFormat="1" x14ac:dyDescent="0.2">
      <c r="A1126" s="286"/>
      <c r="B1126" s="287"/>
      <c r="C1126" s="288"/>
      <c r="D1126" s="87"/>
      <c r="E1126" s="87"/>
      <c r="F1126" s="87"/>
      <c r="G1126" s="87"/>
      <c r="H1126" s="289"/>
      <c r="I1126" s="289"/>
      <c r="J1126" s="87"/>
      <c r="K1126" s="87"/>
      <c r="L1126" s="87"/>
      <c r="M1126" s="289"/>
      <c r="N1126" s="87"/>
      <c r="O1126" s="87"/>
      <c r="P1126" s="87"/>
      <c r="Q1126" s="87"/>
      <c r="R1126" s="289"/>
      <c r="S1126" s="87"/>
      <c r="T1126" s="87"/>
      <c r="U1126" s="87"/>
      <c r="V1126" s="87"/>
      <c r="W1126" s="289"/>
    </row>
    <row r="1127" spans="1:23" s="290" customFormat="1" x14ac:dyDescent="0.2">
      <c r="A1127" s="286"/>
      <c r="B1127" s="287"/>
      <c r="C1127" s="288"/>
      <c r="D1127" s="87"/>
      <c r="E1127" s="87"/>
      <c r="F1127" s="87"/>
      <c r="G1127" s="87"/>
      <c r="H1127" s="289"/>
      <c r="I1127" s="289"/>
      <c r="J1127" s="87"/>
      <c r="K1127" s="87"/>
      <c r="L1127" s="87"/>
      <c r="M1127" s="289"/>
      <c r="N1127" s="87"/>
      <c r="O1127" s="87"/>
      <c r="P1127" s="87"/>
      <c r="Q1127" s="87"/>
      <c r="R1127" s="289"/>
      <c r="S1127" s="87"/>
      <c r="T1127" s="87"/>
      <c r="U1127" s="87"/>
      <c r="V1127" s="87"/>
      <c r="W1127" s="289"/>
    </row>
    <row r="1128" spans="1:23" s="290" customFormat="1" x14ac:dyDescent="0.2">
      <c r="A1128" s="286"/>
      <c r="B1128" s="287"/>
      <c r="C1128" s="288"/>
      <c r="D1128" s="87"/>
      <c r="E1128" s="87"/>
      <c r="F1128" s="87"/>
      <c r="G1128" s="87"/>
      <c r="H1128" s="289"/>
      <c r="I1128" s="289"/>
      <c r="J1128" s="87"/>
      <c r="K1128" s="87"/>
      <c r="L1128" s="87"/>
      <c r="M1128" s="289"/>
      <c r="N1128" s="87"/>
      <c r="O1128" s="87"/>
      <c r="P1128" s="87"/>
      <c r="Q1128" s="87"/>
      <c r="R1128" s="289"/>
      <c r="S1128" s="87"/>
      <c r="T1128" s="87"/>
      <c r="U1128" s="87"/>
      <c r="V1128" s="87"/>
      <c r="W1128" s="289"/>
    </row>
    <row r="1129" spans="1:23" s="290" customFormat="1" x14ac:dyDescent="0.2">
      <c r="A1129" s="286"/>
      <c r="B1129" s="287"/>
      <c r="C1129" s="288"/>
      <c r="D1129" s="87"/>
      <c r="E1129" s="87"/>
      <c r="F1129" s="87"/>
      <c r="G1129" s="87"/>
      <c r="H1129" s="289"/>
      <c r="I1129" s="289"/>
      <c r="J1129" s="87"/>
      <c r="K1129" s="87"/>
      <c r="L1129" s="87"/>
      <c r="M1129" s="289"/>
      <c r="N1129" s="87"/>
      <c r="O1129" s="87"/>
      <c r="P1129" s="87"/>
      <c r="Q1129" s="87"/>
      <c r="R1129" s="289"/>
      <c r="S1129" s="87"/>
      <c r="T1129" s="87"/>
      <c r="U1129" s="87"/>
      <c r="V1129" s="87"/>
      <c r="W1129" s="289"/>
    </row>
    <row r="1130" spans="1:23" s="290" customFormat="1" x14ac:dyDescent="0.2">
      <c r="A1130" s="286"/>
      <c r="B1130" s="287"/>
      <c r="C1130" s="288"/>
      <c r="D1130" s="87"/>
      <c r="E1130" s="87"/>
      <c r="F1130" s="87"/>
      <c r="G1130" s="87"/>
      <c r="H1130" s="289"/>
      <c r="I1130" s="289"/>
      <c r="J1130" s="87"/>
      <c r="K1130" s="87"/>
      <c r="L1130" s="87"/>
      <c r="M1130" s="289"/>
      <c r="N1130" s="87"/>
      <c r="O1130" s="87"/>
      <c r="P1130" s="87"/>
      <c r="Q1130" s="87"/>
      <c r="R1130" s="289"/>
      <c r="S1130" s="87"/>
      <c r="T1130" s="87"/>
      <c r="U1130" s="87"/>
      <c r="V1130" s="87"/>
      <c r="W1130" s="289"/>
    </row>
    <row r="1131" spans="1:23" s="290" customFormat="1" x14ac:dyDescent="0.2">
      <c r="A1131" s="286"/>
      <c r="B1131" s="287"/>
      <c r="C1131" s="288"/>
      <c r="D1131" s="87"/>
      <c r="E1131" s="87"/>
      <c r="F1131" s="87"/>
      <c r="G1131" s="87"/>
      <c r="H1131" s="289"/>
      <c r="I1131" s="289"/>
      <c r="J1131" s="87"/>
      <c r="K1131" s="87"/>
      <c r="L1131" s="87"/>
      <c r="M1131" s="289"/>
      <c r="N1131" s="87"/>
      <c r="O1131" s="87"/>
      <c r="P1131" s="87"/>
      <c r="Q1131" s="87"/>
      <c r="R1131" s="289"/>
      <c r="S1131" s="87"/>
      <c r="T1131" s="87"/>
      <c r="U1131" s="87"/>
      <c r="V1131" s="87"/>
      <c r="W1131" s="289"/>
    </row>
    <row r="1132" spans="1:23" s="290" customFormat="1" x14ac:dyDescent="0.2">
      <c r="A1132" s="286"/>
      <c r="B1132" s="287"/>
      <c r="C1132" s="288"/>
      <c r="D1132" s="87"/>
      <c r="E1132" s="87"/>
      <c r="F1132" s="87"/>
      <c r="G1132" s="87"/>
      <c r="H1132" s="289"/>
      <c r="I1132" s="289"/>
      <c r="J1132" s="87"/>
      <c r="K1132" s="87"/>
      <c r="L1132" s="87"/>
      <c r="M1132" s="289"/>
      <c r="N1132" s="87"/>
      <c r="O1132" s="87"/>
      <c r="P1132" s="87"/>
      <c r="Q1132" s="87"/>
      <c r="R1132" s="289"/>
      <c r="S1132" s="87"/>
      <c r="T1132" s="87"/>
      <c r="U1132" s="87"/>
      <c r="V1132" s="87"/>
      <c r="W1132" s="289"/>
    </row>
    <row r="1133" spans="1:23" s="290" customFormat="1" x14ac:dyDescent="0.2">
      <c r="A1133" s="286"/>
      <c r="B1133" s="287"/>
      <c r="C1133" s="288"/>
      <c r="D1133" s="87"/>
      <c r="E1133" s="87"/>
      <c r="F1133" s="87"/>
      <c r="G1133" s="87"/>
      <c r="H1133" s="289"/>
      <c r="I1133" s="289"/>
      <c r="J1133" s="87"/>
      <c r="K1133" s="87"/>
      <c r="L1133" s="87"/>
      <c r="M1133" s="289"/>
      <c r="N1133" s="87"/>
      <c r="O1133" s="87"/>
      <c r="P1133" s="87"/>
      <c r="Q1133" s="87"/>
      <c r="R1133" s="289"/>
      <c r="S1133" s="87"/>
      <c r="T1133" s="87"/>
      <c r="U1133" s="87"/>
      <c r="V1133" s="87"/>
      <c r="W1133" s="289"/>
    </row>
    <row r="1134" spans="1:23" s="290" customFormat="1" x14ac:dyDescent="0.2">
      <c r="A1134" s="286"/>
      <c r="B1134" s="287"/>
      <c r="C1134" s="288"/>
      <c r="D1134" s="87"/>
      <c r="E1134" s="87"/>
      <c r="F1134" s="87"/>
      <c r="G1134" s="87"/>
      <c r="H1134" s="289"/>
      <c r="I1134" s="289"/>
      <c r="J1134" s="87"/>
      <c r="K1134" s="87"/>
      <c r="L1134" s="87"/>
      <c r="M1134" s="289"/>
      <c r="N1134" s="87"/>
      <c r="O1134" s="87"/>
      <c r="P1134" s="87"/>
      <c r="Q1134" s="87"/>
      <c r="R1134" s="289"/>
      <c r="S1134" s="87"/>
      <c r="T1134" s="87"/>
      <c r="U1134" s="87"/>
      <c r="V1134" s="87"/>
      <c r="W1134" s="289"/>
    </row>
    <row r="1135" spans="1:23" s="290" customFormat="1" x14ac:dyDescent="0.2">
      <c r="A1135" s="286"/>
      <c r="B1135" s="287"/>
      <c r="C1135" s="288"/>
      <c r="D1135" s="87"/>
      <c r="E1135" s="87"/>
      <c r="F1135" s="87"/>
      <c r="G1135" s="87"/>
      <c r="H1135" s="289"/>
      <c r="I1135" s="289"/>
      <c r="J1135" s="87"/>
      <c r="K1135" s="87"/>
      <c r="L1135" s="87"/>
      <c r="M1135" s="289"/>
      <c r="N1135" s="87"/>
      <c r="O1135" s="87"/>
      <c r="P1135" s="87"/>
      <c r="Q1135" s="87"/>
      <c r="R1135" s="289"/>
      <c r="S1135" s="87"/>
      <c r="T1135" s="87"/>
      <c r="U1135" s="87"/>
      <c r="V1135" s="87"/>
      <c r="W1135" s="289"/>
    </row>
    <row r="1136" spans="1:23" s="290" customFormat="1" x14ac:dyDescent="0.2">
      <c r="A1136" s="286"/>
      <c r="B1136" s="287"/>
      <c r="C1136" s="288"/>
      <c r="D1136" s="87"/>
      <c r="E1136" s="87"/>
      <c r="F1136" s="87"/>
      <c r="G1136" s="87"/>
      <c r="H1136" s="289"/>
      <c r="I1136" s="289"/>
      <c r="J1136" s="87"/>
      <c r="K1136" s="87"/>
      <c r="L1136" s="87"/>
      <c r="M1136" s="289"/>
      <c r="N1136" s="87"/>
      <c r="O1136" s="87"/>
      <c r="P1136" s="87"/>
      <c r="Q1136" s="87"/>
      <c r="R1136" s="289"/>
      <c r="S1136" s="87"/>
      <c r="T1136" s="87"/>
      <c r="U1136" s="87"/>
      <c r="V1136" s="87"/>
      <c r="W1136" s="289"/>
    </row>
    <row r="1137" spans="1:23" s="290" customFormat="1" x14ac:dyDescent="0.2">
      <c r="A1137" s="286"/>
      <c r="B1137" s="287"/>
      <c r="C1137" s="288"/>
      <c r="D1137" s="87"/>
      <c r="E1137" s="87"/>
      <c r="F1137" s="87"/>
      <c r="G1137" s="87"/>
      <c r="H1137" s="289"/>
      <c r="I1137" s="289"/>
      <c r="J1137" s="87"/>
      <c r="K1137" s="87"/>
      <c r="L1137" s="87"/>
      <c r="M1137" s="289"/>
      <c r="N1137" s="87"/>
      <c r="O1137" s="87"/>
      <c r="P1137" s="87"/>
      <c r="Q1137" s="87"/>
      <c r="R1137" s="289"/>
      <c r="S1137" s="87"/>
      <c r="T1137" s="87"/>
      <c r="U1137" s="87"/>
      <c r="V1137" s="87"/>
      <c r="W1137" s="289"/>
    </row>
    <row r="1138" spans="1:23" s="290" customFormat="1" x14ac:dyDescent="0.2">
      <c r="A1138" s="286"/>
      <c r="B1138" s="287"/>
      <c r="C1138" s="288"/>
      <c r="D1138" s="87"/>
      <c r="E1138" s="87"/>
      <c r="F1138" s="87"/>
      <c r="G1138" s="87"/>
      <c r="H1138" s="289"/>
      <c r="I1138" s="289"/>
      <c r="J1138" s="87"/>
      <c r="K1138" s="87"/>
      <c r="L1138" s="87"/>
      <c r="M1138" s="289"/>
      <c r="N1138" s="87"/>
      <c r="O1138" s="87"/>
      <c r="P1138" s="87"/>
      <c r="Q1138" s="87"/>
      <c r="R1138" s="289"/>
      <c r="S1138" s="87"/>
      <c r="T1138" s="87"/>
      <c r="U1138" s="87"/>
      <c r="V1138" s="87"/>
      <c r="W1138" s="289"/>
    </row>
    <row r="1139" spans="1:23" s="290" customFormat="1" x14ac:dyDescent="0.2">
      <c r="A1139" s="286"/>
      <c r="B1139" s="287"/>
      <c r="C1139" s="288"/>
      <c r="D1139" s="87"/>
      <c r="E1139" s="87"/>
      <c r="F1139" s="87"/>
      <c r="G1139" s="87"/>
      <c r="H1139" s="289"/>
      <c r="I1139" s="289"/>
      <c r="J1139" s="87"/>
      <c r="K1139" s="87"/>
      <c r="L1139" s="87"/>
      <c r="M1139" s="289"/>
      <c r="N1139" s="87"/>
      <c r="O1139" s="87"/>
      <c r="P1139" s="87"/>
      <c r="Q1139" s="87"/>
      <c r="R1139" s="289"/>
      <c r="S1139" s="87"/>
      <c r="T1139" s="87"/>
      <c r="U1139" s="87"/>
      <c r="V1139" s="87"/>
      <c r="W1139" s="289"/>
    </row>
    <row r="1140" spans="1:23" s="290" customFormat="1" x14ac:dyDescent="0.2">
      <c r="A1140" s="286"/>
      <c r="B1140" s="287"/>
      <c r="C1140" s="288"/>
      <c r="D1140" s="87"/>
      <c r="E1140" s="87"/>
      <c r="F1140" s="87"/>
      <c r="G1140" s="87"/>
      <c r="H1140" s="289"/>
      <c r="I1140" s="289"/>
      <c r="J1140" s="87"/>
      <c r="K1140" s="87"/>
      <c r="L1140" s="87"/>
      <c r="M1140" s="289"/>
      <c r="N1140" s="87"/>
      <c r="O1140" s="87"/>
      <c r="P1140" s="87"/>
      <c r="Q1140" s="87"/>
      <c r="R1140" s="289"/>
      <c r="S1140" s="87"/>
      <c r="T1140" s="87"/>
      <c r="U1140" s="87"/>
      <c r="V1140" s="87"/>
      <c r="W1140" s="289"/>
    </row>
    <row r="1141" spans="1:23" s="290" customFormat="1" x14ac:dyDescent="0.2">
      <c r="A1141" s="286"/>
      <c r="B1141" s="287"/>
      <c r="C1141" s="288"/>
      <c r="D1141" s="87"/>
      <c r="E1141" s="87"/>
      <c r="F1141" s="87"/>
      <c r="G1141" s="87"/>
      <c r="H1141" s="289"/>
      <c r="I1141" s="289"/>
      <c r="J1141" s="87"/>
      <c r="K1141" s="87"/>
      <c r="L1141" s="87"/>
      <c r="M1141" s="289"/>
      <c r="N1141" s="87"/>
      <c r="O1141" s="87"/>
      <c r="P1141" s="87"/>
      <c r="Q1141" s="87"/>
      <c r="R1141" s="289"/>
      <c r="S1141" s="87"/>
      <c r="T1141" s="87"/>
      <c r="U1141" s="87"/>
      <c r="V1141" s="87"/>
      <c r="W1141" s="289"/>
    </row>
    <row r="1142" spans="1:23" s="290" customFormat="1" x14ac:dyDescent="0.2">
      <c r="A1142" s="286"/>
      <c r="B1142" s="287"/>
      <c r="C1142" s="288"/>
      <c r="D1142" s="87"/>
      <c r="E1142" s="87"/>
      <c r="F1142" s="87"/>
      <c r="G1142" s="87"/>
      <c r="H1142" s="289"/>
      <c r="I1142" s="289"/>
      <c r="J1142" s="87"/>
      <c r="K1142" s="87"/>
      <c r="L1142" s="87"/>
      <c r="M1142" s="289"/>
      <c r="N1142" s="87"/>
      <c r="O1142" s="87"/>
      <c r="P1142" s="87"/>
      <c r="Q1142" s="87"/>
      <c r="R1142" s="289"/>
      <c r="S1142" s="87"/>
      <c r="T1142" s="87"/>
      <c r="U1142" s="87"/>
      <c r="V1142" s="87"/>
      <c r="W1142" s="289"/>
    </row>
    <row r="1143" spans="1:23" s="290" customFormat="1" x14ac:dyDescent="0.2">
      <c r="A1143" s="286"/>
      <c r="B1143" s="287"/>
      <c r="C1143" s="288"/>
      <c r="D1143" s="87"/>
      <c r="E1143" s="87"/>
      <c r="F1143" s="87"/>
      <c r="G1143" s="87"/>
      <c r="H1143" s="289"/>
      <c r="I1143" s="289"/>
      <c r="J1143" s="87"/>
      <c r="K1143" s="87"/>
      <c r="L1143" s="87"/>
      <c r="M1143" s="289"/>
      <c r="N1143" s="87"/>
      <c r="O1143" s="87"/>
      <c r="P1143" s="87"/>
      <c r="Q1143" s="87"/>
      <c r="R1143" s="289"/>
      <c r="S1143" s="87"/>
      <c r="T1143" s="87"/>
      <c r="U1143" s="87"/>
      <c r="V1143" s="87"/>
      <c r="W1143" s="289"/>
    </row>
    <row r="1144" spans="1:23" s="290" customFormat="1" x14ac:dyDescent="0.2">
      <c r="A1144" s="286"/>
      <c r="B1144" s="287"/>
      <c r="C1144" s="288"/>
      <c r="D1144" s="87"/>
      <c r="E1144" s="87"/>
      <c r="F1144" s="87"/>
      <c r="G1144" s="87"/>
      <c r="H1144" s="289"/>
      <c r="I1144" s="289"/>
      <c r="J1144" s="87"/>
      <c r="K1144" s="87"/>
      <c r="L1144" s="87"/>
      <c r="M1144" s="289"/>
      <c r="N1144" s="87"/>
      <c r="O1144" s="87"/>
      <c r="P1144" s="87"/>
      <c r="Q1144" s="87"/>
      <c r="R1144" s="289"/>
      <c r="S1144" s="87"/>
      <c r="T1144" s="87"/>
      <c r="U1144" s="87"/>
      <c r="V1144" s="87"/>
      <c r="W1144" s="289"/>
    </row>
    <row r="1145" spans="1:23" s="290" customFormat="1" x14ac:dyDescent="0.2">
      <c r="A1145" s="286"/>
      <c r="B1145" s="287"/>
      <c r="C1145" s="288"/>
      <c r="D1145" s="87"/>
      <c r="E1145" s="87"/>
      <c r="F1145" s="87"/>
      <c r="G1145" s="87"/>
      <c r="H1145" s="289"/>
      <c r="I1145" s="289"/>
      <c r="J1145" s="87"/>
      <c r="K1145" s="87"/>
      <c r="L1145" s="87"/>
      <c r="M1145" s="289"/>
      <c r="N1145" s="87"/>
      <c r="O1145" s="87"/>
      <c r="P1145" s="87"/>
      <c r="Q1145" s="87"/>
      <c r="R1145" s="289"/>
      <c r="S1145" s="87"/>
      <c r="T1145" s="87"/>
      <c r="U1145" s="87"/>
      <c r="V1145" s="87"/>
      <c r="W1145" s="289"/>
    </row>
    <row r="1146" spans="1:23" s="290" customFormat="1" x14ac:dyDescent="0.2">
      <c r="A1146" s="286"/>
      <c r="B1146" s="287"/>
      <c r="C1146" s="288"/>
      <c r="D1146" s="87"/>
      <c r="E1146" s="87"/>
      <c r="F1146" s="87"/>
      <c r="G1146" s="87"/>
      <c r="H1146" s="289"/>
      <c r="I1146" s="289"/>
      <c r="J1146" s="87"/>
      <c r="K1146" s="87"/>
      <c r="L1146" s="87"/>
      <c r="M1146" s="289"/>
      <c r="N1146" s="87"/>
      <c r="O1146" s="87"/>
      <c r="P1146" s="87"/>
      <c r="Q1146" s="87"/>
      <c r="R1146" s="289"/>
      <c r="S1146" s="87"/>
      <c r="T1146" s="87"/>
      <c r="U1146" s="87"/>
      <c r="V1146" s="87"/>
      <c r="W1146" s="289"/>
    </row>
    <row r="1147" spans="1:23" s="290" customFormat="1" x14ac:dyDescent="0.2">
      <c r="A1147" s="286"/>
      <c r="B1147" s="287"/>
      <c r="C1147" s="288"/>
      <c r="D1147" s="87"/>
      <c r="E1147" s="87"/>
      <c r="F1147" s="87"/>
      <c r="G1147" s="87"/>
      <c r="H1147" s="289"/>
      <c r="I1147" s="289"/>
      <c r="J1147" s="87"/>
      <c r="K1147" s="87"/>
      <c r="L1147" s="87"/>
      <c r="M1147" s="289"/>
      <c r="N1147" s="87"/>
      <c r="O1147" s="87"/>
      <c r="P1147" s="87"/>
      <c r="Q1147" s="87"/>
      <c r="R1147" s="289"/>
      <c r="S1147" s="87"/>
      <c r="T1147" s="87"/>
      <c r="U1147" s="87"/>
      <c r="V1147" s="87"/>
      <c r="W1147" s="289"/>
    </row>
    <row r="1148" spans="1:23" s="290" customFormat="1" x14ac:dyDescent="0.2">
      <c r="A1148" s="286"/>
      <c r="B1148" s="287"/>
      <c r="C1148" s="288"/>
      <c r="D1148" s="87"/>
      <c r="E1148" s="87"/>
      <c r="F1148" s="87"/>
      <c r="G1148" s="87"/>
      <c r="H1148" s="289"/>
      <c r="I1148" s="289"/>
      <c r="J1148" s="87"/>
      <c r="K1148" s="87"/>
      <c r="L1148" s="87"/>
      <c r="M1148" s="289"/>
      <c r="N1148" s="87"/>
      <c r="O1148" s="87"/>
      <c r="P1148" s="87"/>
      <c r="Q1148" s="87"/>
      <c r="R1148" s="289"/>
      <c r="S1148" s="87"/>
      <c r="T1148" s="87"/>
      <c r="U1148" s="87"/>
      <c r="V1148" s="87"/>
      <c r="W1148" s="289"/>
    </row>
    <row r="1149" spans="1:23" s="290" customFormat="1" x14ac:dyDescent="0.2">
      <c r="A1149" s="286"/>
      <c r="B1149" s="287"/>
      <c r="C1149" s="288"/>
      <c r="D1149" s="87"/>
      <c r="E1149" s="87"/>
      <c r="F1149" s="87"/>
      <c r="G1149" s="87"/>
      <c r="H1149" s="289"/>
      <c r="I1149" s="289"/>
      <c r="J1149" s="87"/>
      <c r="K1149" s="87"/>
      <c r="L1149" s="87"/>
      <c r="M1149" s="289"/>
      <c r="N1149" s="87"/>
      <c r="O1149" s="87"/>
      <c r="P1149" s="87"/>
      <c r="Q1149" s="87"/>
      <c r="R1149" s="289"/>
      <c r="S1149" s="87"/>
      <c r="T1149" s="87"/>
      <c r="U1149" s="87"/>
      <c r="V1149" s="87"/>
      <c r="W1149" s="289"/>
    </row>
    <row r="1150" spans="1:23" s="290" customFormat="1" x14ac:dyDescent="0.2">
      <c r="A1150" s="286"/>
      <c r="B1150" s="287"/>
      <c r="C1150" s="288"/>
      <c r="D1150" s="87"/>
      <c r="E1150" s="87"/>
      <c r="F1150" s="87"/>
      <c r="G1150" s="87"/>
      <c r="H1150" s="289"/>
      <c r="I1150" s="289"/>
      <c r="J1150" s="87"/>
      <c r="K1150" s="87"/>
      <c r="L1150" s="87"/>
      <c r="M1150" s="289"/>
      <c r="N1150" s="87"/>
      <c r="O1150" s="87"/>
      <c r="P1150" s="87"/>
      <c r="Q1150" s="87"/>
      <c r="R1150" s="289"/>
      <c r="S1150" s="87"/>
      <c r="T1150" s="87"/>
      <c r="U1150" s="87"/>
      <c r="V1150" s="87"/>
      <c r="W1150" s="289"/>
    </row>
    <row r="1151" spans="1:23" s="290" customFormat="1" x14ac:dyDescent="0.2">
      <c r="A1151" s="286"/>
      <c r="B1151" s="287"/>
      <c r="C1151" s="288"/>
      <c r="D1151" s="87"/>
      <c r="E1151" s="87"/>
      <c r="F1151" s="87"/>
      <c r="G1151" s="87"/>
      <c r="H1151" s="289"/>
      <c r="I1151" s="289"/>
      <c r="J1151" s="87"/>
      <c r="K1151" s="87"/>
      <c r="L1151" s="87"/>
      <c r="M1151" s="289"/>
      <c r="N1151" s="87"/>
      <c r="O1151" s="87"/>
      <c r="P1151" s="87"/>
      <c r="Q1151" s="87"/>
      <c r="R1151" s="289"/>
      <c r="S1151" s="87"/>
      <c r="T1151" s="87"/>
      <c r="U1151" s="87"/>
      <c r="V1151" s="87"/>
      <c r="W1151" s="289"/>
    </row>
    <row r="1152" spans="1:23" s="290" customFormat="1" x14ac:dyDescent="0.2">
      <c r="A1152" s="286"/>
      <c r="B1152" s="287"/>
      <c r="C1152" s="288"/>
      <c r="D1152" s="87"/>
      <c r="E1152" s="87"/>
      <c r="F1152" s="87"/>
      <c r="G1152" s="87"/>
      <c r="H1152" s="289"/>
      <c r="I1152" s="289"/>
      <c r="J1152" s="87"/>
      <c r="K1152" s="87"/>
      <c r="L1152" s="87"/>
      <c r="M1152" s="289"/>
      <c r="N1152" s="87"/>
      <c r="O1152" s="87"/>
      <c r="P1152" s="87"/>
      <c r="Q1152" s="87"/>
      <c r="R1152" s="289"/>
      <c r="S1152" s="87"/>
      <c r="T1152" s="87"/>
      <c r="U1152" s="87"/>
      <c r="V1152" s="87"/>
      <c r="W1152" s="289"/>
    </row>
    <row r="1153" spans="1:23" s="290" customFormat="1" x14ac:dyDescent="0.2">
      <c r="A1153" s="286"/>
      <c r="B1153" s="287"/>
      <c r="C1153" s="288"/>
      <c r="D1153" s="87"/>
      <c r="E1153" s="87"/>
      <c r="F1153" s="87"/>
      <c r="G1153" s="87"/>
      <c r="H1153" s="289"/>
      <c r="I1153" s="289"/>
      <c r="J1153" s="87"/>
      <c r="K1153" s="87"/>
      <c r="L1153" s="87"/>
      <c r="M1153" s="289"/>
      <c r="N1153" s="87"/>
      <c r="O1153" s="87"/>
      <c r="P1153" s="87"/>
      <c r="Q1153" s="87"/>
      <c r="R1153" s="289"/>
      <c r="S1153" s="87"/>
      <c r="T1153" s="87"/>
      <c r="U1153" s="87"/>
      <c r="V1153" s="87"/>
      <c r="W1153" s="289"/>
    </row>
    <row r="1154" spans="1:23" s="290" customFormat="1" x14ac:dyDescent="0.2">
      <c r="A1154" s="286"/>
      <c r="B1154" s="287"/>
      <c r="C1154" s="288"/>
      <c r="D1154" s="87"/>
      <c r="E1154" s="87"/>
      <c r="F1154" s="87"/>
      <c r="G1154" s="87"/>
      <c r="H1154" s="289"/>
      <c r="I1154" s="289"/>
      <c r="J1154" s="87"/>
      <c r="K1154" s="87"/>
      <c r="L1154" s="87"/>
      <c r="M1154" s="289"/>
      <c r="N1154" s="87"/>
      <c r="O1154" s="87"/>
      <c r="P1154" s="87"/>
      <c r="Q1154" s="87"/>
      <c r="R1154" s="289"/>
      <c r="S1154" s="87"/>
      <c r="T1154" s="87"/>
      <c r="U1154" s="87"/>
      <c r="V1154" s="87"/>
      <c r="W1154" s="289"/>
    </row>
    <row r="1155" spans="1:23" s="290" customFormat="1" x14ac:dyDescent="0.2">
      <c r="A1155" s="286"/>
      <c r="B1155" s="287"/>
      <c r="C1155" s="288"/>
      <c r="D1155" s="87"/>
      <c r="E1155" s="87"/>
      <c r="F1155" s="87"/>
      <c r="G1155" s="87"/>
      <c r="H1155" s="289"/>
      <c r="I1155" s="289"/>
      <c r="J1155" s="87"/>
      <c r="K1155" s="87"/>
      <c r="L1155" s="87"/>
      <c r="M1155" s="289"/>
      <c r="N1155" s="87"/>
      <c r="O1155" s="87"/>
      <c r="P1155" s="87"/>
      <c r="Q1155" s="87"/>
      <c r="R1155" s="289"/>
      <c r="S1155" s="87"/>
      <c r="T1155" s="87"/>
      <c r="U1155" s="87"/>
      <c r="V1155" s="87"/>
      <c r="W1155" s="289"/>
    </row>
    <row r="1156" spans="1:23" s="290" customFormat="1" x14ac:dyDescent="0.2">
      <c r="A1156" s="286"/>
      <c r="B1156" s="287"/>
      <c r="C1156" s="288"/>
      <c r="D1156" s="87"/>
      <c r="E1156" s="87"/>
      <c r="F1156" s="87"/>
      <c r="G1156" s="87"/>
      <c r="H1156" s="289"/>
      <c r="I1156" s="289"/>
      <c r="J1156" s="87"/>
      <c r="K1156" s="87"/>
      <c r="L1156" s="87"/>
      <c r="M1156" s="289"/>
      <c r="N1156" s="87"/>
      <c r="O1156" s="87"/>
      <c r="P1156" s="87"/>
      <c r="Q1156" s="87"/>
      <c r="R1156" s="289"/>
      <c r="S1156" s="87"/>
      <c r="T1156" s="87"/>
      <c r="U1156" s="87"/>
      <c r="V1156" s="87"/>
      <c r="W1156" s="289"/>
    </row>
    <row r="1157" spans="1:23" s="290" customFormat="1" x14ac:dyDescent="0.2">
      <c r="A1157" s="286"/>
      <c r="B1157" s="287"/>
      <c r="C1157" s="288"/>
      <c r="D1157" s="87"/>
      <c r="E1157" s="87"/>
      <c r="F1157" s="87"/>
      <c r="G1157" s="87"/>
      <c r="H1157" s="289"/>
      <c r="I1157" s="289"/>
      <c r="J1157" s="87"/>
      <c r="K1157" s="87"/>
      <c r="L1157" s="87"/>
      <c r="M1157" s="289"/>
      <c r="N1157" s="87"/>
      <c r="O1157" s="87"/>
      <c r="P1157" s="87"/>
      <c r="Q1157" s="87"/>
      <c r="R1157" s="289"/>
      <c r="S1157" s="87"/>
      <c r="T1157" s="87"/>
      <c r="U1157" s="87"/>
      <c r="V1157" s="87"/>
      <c r="W1157" s="289"/>
    </row>
    <row r="1158" spans="1:23" s="290" customFormat="1" x14ac:dyDescent="0.2">
      <c r="A1158" s="286"/>
      <c r="B1158" s="287"/>
      <c r="C1158" s="288"/>
      <c r="D1158" s="87"/>
      <c r="E1158" s="87"/>
      <c r="F1158" s="87"/>
      <c r="G1158" s="87"/>
      <c r="H1158" s="289"/>
      <c r="I1158" s="289"/>
      <c r="J1158" s="87"/>
      <c r="K1158" s="87"/>
      <c r="L1158" s="87"/>
      <c r="M1158" s="289"/>
      <c r="N1158" s="87"/>
      <c r="O1158" s="87"/>
      <c r="P1158" s="87"/>
      <c r="Q1158" s="87"/>
      <c r="R1158" s="289"/>
      <c r="S1158" s="87"/>
      <c r="T1158" s="87"/>
      <c r="U1158" s="87"/>
      <c r="V1158" s="87"/>
      <c r="W1158" s="289"/>
    </row>
    <row r="1159" spans="1:23" s="290" customFormat="1" x14ac:dyDescent="0.2">
      <c r="A1159" s="286"/>
      <c r="B1159" s="287"/>
      <c r="C1159" s="288"/>
      <c r="D1159" s="87"/>
      <c r="E1159" s="87"/>
      <c r="F1159" s="87"/>
      <c r="G1159" s="87"/>
      <c r="H1159" s="289"/>
      <c r="I1159" s="289"/>
      <c r="J1159" s="87"/>
      <c r="K1159" s="87"/>
      <c r="L1159" s="87"/>
      <c r="M1159" s="289"/>
      <c r="N1159" s="87"/>
      <c r="O1159" s="87"/>
      <c r="P1159" s="87"/>
      <c r="Q1159" s="87"/>
      <c r="R1159" s="289"/>
      <c r="S1159" s="87"/>
      <c r="T1159" s="87"/>
      <c r="U1159" s="87"/>
      <c r="V1159" s="87"/>
      <c r="W1159" s="289"/>
    </row>
    <row r="1160" spans="1:23" s="290" customFormat="1" x14ac:dyDescent="0.2">
      <c r="A1160" s="286"/>
      <c r="B1160" s="287"/>
      <c r="C1160" s="288"/>
      <c r="D1160" s="87"/>
      <c r="E1160" s="87"/>
      <c r="F1160" s="87"/>
      <c r="G1160" s="87"/>
      <c r="H1160" s="289"/>
      <c r="I1160" s="289"/>
      <c r="J1160" s="87"/>
      <c r="K1160" s="87"/>
      <c r="L1160" s="87"/>
      <c r="M1160" s="289"/>
      <c r="N1160" s="87"/>
      <c r="O1160" s="87"/>
      <c r="P1160" s="87"/>
      <c r="Q1160" s="87"/>
      <c r="R1160" s="289"/>
      <c r="S1160" s="87"/>
      <c r="T1160" s="87"/>
      <c r="U1160" s="87"/>
      <c r="V1160" s="87"/>
      <c r="W1160" s="289"/>
    </row>
    <row r="1161" spans="1:23" s="290" customFormat="1" x14ac:dyDescent="0.2">
      <c r="A1161" s="286"/>
      <c r="B1161" s="287"/>
      <c r="C1161" s="288"/>
      <c r="D1161" s="87"/>
      <c r="E1161" s="87"/>
      <c r="F1161" s="87"/>
      <c r="G1161" s="87"/>
      <c r="H1161" s="289"/>
      <c r="I1161" s="289"/>
      <c r="J1161" s="87"/>
      <c r="K1161" s="87"/>
      <c r="L1161" s="87"/>
      <c r="M1161" s="289"/>
      <c r="N1161" s="87"/>
      <c r="O1161" s="87"/>
      <c r="P1161" s="87"/>
      <c r="Q1161" s="87"/>
      <c r="R1161" s="289"/>
      <c r="S1161" s="87"/>
      <c r="T1161" s="87"/>
      <c r="U1161" s="87"/>
      <c r="V1161" s="87"/>
      <c r="W1161" s="289"/>
    </row>
    <row r="1162" spans="1:23" s="290" customFormat="1" x14ac:dyDescent="0.2">
      <c r="A1162" s="286"/>
      <c r="B1162" s="287"/>
      <c r="C1162" s="288"/>
      <c r="D1162" s="87"/>
      <c r="E1162" s="87"/>
      <c r="F1162" s="87"/>
      <c r="G1162" s="87"/>
      <c r="H1162" s="289"/>
      <c r="I1162" s="289"/>
      <c r="J1162" s="87"/>
      <c r="K1162" s="87"/>
      <c r="L1162" s="87"/>
      <c r="M1162" s="289"/>
      <c r="N1162" s="87"/>
      <c r="O1162" s="87"/>
      <c r="P1162" s="87"/>
      <c r="Q1162" s="87"/>
      <c r="R1162" s="289"/>
      <c r="S1162" s="87"/>
      <c r="T1162" s="87"/>
      <c r="U1162" s="87"/>
      <c r="V1162" s="87"/>
      <c r="W1162" s="289"/>
    </row>
    <row r="1163" spans="1:23" s="290" customFormat="1" x14ac:dyDescent="0.2">
      <c r="A1163" s="286"/>
      <c r="B1163" s="287"/>
      <c r="C1163" s="288"/>
      <c r="D1163" s="87"/>
      <c r="E1163" s="87"/>
      <c r="F1163" s="87"/>
      <c r="G1163" s="87"/>
      <c r="H1163" s="289"/>
      <c r="I1163" s="289"/>
      <c r="J1163" s="87"/>
      <c r="K1163" s="87"/>
      <c r="L1163" s="87"/>
      <c r="M1163" s="289"/>
      <c r="N1163" s="87"/>
      <c r="O1163" s="87"/>
      <c r="P1163" s="87"/>
      <c r="Q1163" s="87"/>
      <c r="R1163" s="289"/>
      <c r="S1163" s="87"/>
      <c r="T1163" s="87"/>
      <c r="U1163" s="87"/>
      <c r="V1163" s="87"/>
      <c r="W1163" s="289"/>
    </row>
    <row r="1164" spans="1:23" s="290" customFormat="1" x14ac:dyDescent="0.2">
      <c r="A1164" s="286"/>
      <c r="B1164" s="287"/>
      <c r="C1164" s="288"/>
      <c r="D1164" s="87"/>
      <c r="E1164" s="87"/>
      <c r="F1164" s="87"/>
      <c r="G1164" s="87"/>
      <c r="H1164" s="289"/>
      <c r="I1164" s="289"/>
      <c r="J1164" s="87"/>
      <c r="K1164" s="87"/>
      <c r="L1164" s="87"/>
      <c r="M1164" s="289"/>
      <c r="N1164" s="87"/>
      <c r="O1164" s="87"/>
      <c r="P1164" s="87"/>
      <c r="Q1164" s="87"/>
      <c r="R1164" s="289"/>
      <c r="S1164" s="87"/>
      <c r="T1164" s="87"/>
      <c r="U1164" s="87"/>
      <c r="V1164" s="87"/>
      <c r="W1164" s="289"/>
    </row>
    <row r="1165" spans="1:23" s="290" customFormat="1" x14ac:dyDescent="0.2">
      <c r="A1165" s="286"/>
      <c r="B1165" s="287"/>
      <c r="C1165" s="288"/>
      <c r="D1165" s="87"/>
      <c r="E1165" s="87"/>
      <c r="F1165" s="87"/>
      <c r="G1165" s="87"/>
      <c r="H1165" s="289"/>
      <c r="I1165" s="289"/>
      <c r="J1165" s="87"/>
      <c r="K1165" s="87"/>
      <c r="L1165" s="87"/>
      <c r="M1165" s="289"/>
      <c r="N1165" s="87"/>
      <c r="O1165" s="87"/>
      <c r="P1165" s="87"/>
      <c r="Q1165" s="87"/>
      <c r="R1165" s="289"/>
      <c r="S1165" s="87"/>
      <c r="T1165" s="87"/>
      <c r="U1165" s="87"/>
      <c r="V1165" s="87"/>
      <c r="W1165" s="289"/>
    </row>
    <row r="1166" spans="1:23" s="290" customFormat="1" x14ac:dyDescent="0.2">
      <c r="A1166" s="286"/>
      <c r="B1166" s="287"/>
      <c r="C1166" s="288"/>
      <c r="D1166" s="87"/>
      <c r="E1166" s="87"/>
      <c r="F1166" s="87"/>
      <c r="G1166" s="87"/>
      <c r="H1166" s="289"/>
      <c r="I1166" s="289"/>
      <c r="J1166" s="87"/>
      <c r="K1166" s="87"/>
      <c r="L1166" s="87"/>
      <c r="M1166" s="289"/>
      <c r="N1166" s="87"/>
      <c r="O1166" s="87"/>
      <c r="P1166" s="87"/>
      <c r="Q1166" s="87"/>
      <c r="R1166" s="289"/>
      <c r="S1166" s="87"/>
      <c r="T1166" s="87"/>
      <c r="U1166" s="87"/>
      <c r="V1166" s="87"/>
      <c r="W1166" s="289"/>
    </row>
    <row r="1167" spans="1:23" s="290" customFormat="1" x14ac:dyDescent="0.2">
      <c r="A1167" s="286"/>
      <c r="B1167" s="287"/>
      <c r="C1167" s="288"/>
      <c r="D1167" s="87"/>
      <c r="E1167" s="87"/>
      <c r="F1167" s="87"/>
      <c r="G1167" s="87"/>
      <c r="H1167" s="289"/>
      <c r="I1167" s="289"/>
      <c r="J1167" s="87"/>
      <c r="K1167" s="87"/>
      <c r="L1167" s="87"/>
      <c r="M1167" s="289"/>
      <c r="N1167" s="87"/>
      <c r="O1167" s="87"/>
      <c r="P1167" s="87"/>
      <c r="Q1167" s="87"/>
      <c r="R1167" s="289"/>
      <c r="S1167" s="87"/>
      <c r="T1167" s="87"/>
      <c r="U1167" s="87"/>
      <c r="V1167" s="87"/>
      <c r="W1167" s="289"/>
    </row>
    <row r="1168" spans="1:23" s="290" customFormat="1" x14ac:dyDescent="0.2">
      <c r="A1168" s="286"/>
      <c r="B1168" s="287"/>
      <c r="C1168" s="288"/>
      <c r="D1168" s="87"/>
      <c r="E1168" s="87"/>
      <c r="F1168" s="87"/>
      <c r="G1168" s="87"/>
      <c r="H1168" s="289"/>
      <c r="I1168" s="289"/>
      <c r="J1168" s="87"/>
      <c r="K1168" s="87"/>
      <c r="L1168" s="87"/>
      <c r="M1168" s="289"/>
      <c r="N1168" s="87"/>
      <c r="O1168" s="87"/>
      <c r="P1168" s="87"/>
      <c r="Q1168" s="87"/>
      <c r="R1168" s="289"/>
      <c r="S1168" s="87"/>
      <c r="T1168" s="87"/>
      <c r="U1168" s="87"/>
      <c r="V1168" s="87"/>
      <c r="W1168" s="289"/>
    </row>
    <row r="1169" spans="1:23" s="290" customFormat="1" x14ac:dyDescent="0.2">
      <c r="A1169" s="286"/>
      <c r="B1169" s="287"/>
      <c r="C1169" s="288"/>
      <c r="D1169" s="87"/>
      <c r="E1169" s="87"/>
      <c r="F1169" s="87"/>
      <c r="G1169" s="87"/>
      <c r="H1169" s="289"/>
      <c r="I1169" s="289"/>
      <c r="J1169" s="87"/>
      <c r="K1169" s="87"/>
      <c r="L1169" s="87"/>
      <c r="M1169" s="289"/>
      <c r="N1169" s="87"/>
      <c r="O1169" s="87"/>
      <c r="P1169" s="87"/>
      <c r="Q1169" s="87"/>
      <c r="R1169" s="289"/>
      <c r="S1169" s="87"/>
      <c r="T1169" s="87"/>
      <c r="U1169" s="87"/>
      <c r="V1169" s="87"/>
      <c r="W1169" s="289"/>
    </row>
    <row r="1170" spans="1:23" s="290" customFormat="1" x14ac:dyDescent="0.2">
      <c r="A1170" s="286"/>
      <c r="B1170" s="287"/>
      <c r="C1170" s="288"/>
      <c r="D1170" s="87"/>
      <c r="E1170" s="87"/>
      <c r="F1170" s="87"/>
      <c r="G1170" s="87"/>
      <c r="H1170" s="289"/>
      <c r="I1170" s="289"/>
      <c r="J1170" s="87"/>
      <c r="K1170" s="87"/>
      <c r="L1170" s="87"/>
      <c r="M1170" s="289"/>
      <c r="N1170" s="87"/>
      <c r="O1170" s="87"/>
      <c r="P1170" s="87"/>
      <c r="Q1170" s="87"/>
      <c r="R1170" s="289"/>
      <c r="S1170" s="87"/>
      <c r="T1170" s="87"/>
      <c r="U1170" s="87"/>
      <c r="V1170" s="87"/>
      <c r="W1170" s="289"/>
    </row>
    <row r="1171" spans="1:23" s="290" customFormat="1" x14ac:dyDescent="0.2">
      <c r="A1171" s="286"/>
      <c r="B1171" s="287"/>
      <c r="C1171" s="288"/>
      <c r="D1171" s="87"/>
      <c r="E1171" s="87"/>
      <c r="F1171" s="87"/>
      <c r="G1171" s="87"/>
      <c r="H1171" s="289"/>
      <c r="I1171" s="289"/>
      <c r="J1171" s="87"/>
      <c r="K1171" s="87"/>
      <c r="L1171" s="87"/>
      <c r="M1171" s="289"/>
      <c r="N1171" s="87"/>
      <c r="O1171" s="87"/>
      <c r="P1171" s="87"/>
      <c r="Q1171" s="87"/>
      <c r="R1171" s="289"/>
      <c r="S1171" s="87"/>
      <c r="T1171" s="87"/>
      <c r="U1171" s="87"/>
      <c r="V1171" s="87"/>
      <c r="W1171" s="289"/>
    </row>
    <row r="1172" spans="1:23" s="290" customFormat="1" x14ac:dyDescent="0.2">
      <c r="A1172" s="286"/>
      <c r="B1172" s="287"/>
      <c r="C1172" s="288"/>
      <c r="D1172" s="87"/>
      <c r="E1172" s="87"/>
      <c r="F1172" s="87"/>
      <c r="G1172" s="87"/>
      <c r="H1172" s="289"/>
      <c r="I1172" s="289"/>
      <c r="J1172" s="87"/>
      <c r="K1172" s="87"/>
      <c r="L1172" s="87"/>
      <c r="M1172" s="289"/>
      <c r="N1172" s="87"/>
      <c r="O1172" s="87"/>
      <c r="P1172" s="87"/>
      <c r="Q1172" s="87"/>
      <c r="R1172" s="289"/>
      <c r="S1172" s="87"/>
      <c r="T1172" s="87"/>
      <c r="U1172" s="87"/>
      <c r="V1172" s="87"/>
      <c r="W1172" s="289"/>
    </row>
    <row r="1173" spans="1:23" s="290" customFormat="1" x14ac:dyDescent="0.2">
      <c r="A1173" s="286"/>
      <c r="B1173" s="287"/>
      <c r="C1173" s="288"/>
      <c r="D1173" s="87"/>
      <c r="E1173" s="87"/>
      <c r="F1173" s="87"/>
      <c r="G1173" s="87"/>
      <c r="H1173" s="289"/>
      <c r="I1173" s="289"/>
      <c r="J1173" s="87"/>
      <c r="K1173" s="87"/>
      <c r="L1173" s="87"/>
      <c r="M1173" s="289"/>
      <c r="N1173" s="87"/>
      <c r="O1173" s="87"/>
      <c r="P1173" s="87"/>
      <c r="Q1173" s="87"/>
      <c r="R1173" s="289"/>
      <c r="S1173" s="87"/>
      <c r="T1173" s="87"/>
      <c r="U1173" s="87"/>
      <c r="V1173" s="87"/>
      <c r="W1173" s="289"/>
    </row>
    <row r="1174" spans="1:23" s="290" customFormat="1" x14ac:dyDescent="0.2">
      <c r="A1174" s="286"/>
      <c r="B1174" s="287"/>
      <c r="C1174" s="288"/>
      <c r="D1174" s="87"/>
      <c r="E1174" s="87"/>
      <c r="F1174" s="87"/>
      <c r="G1174" s="87"/>
      <c r="H1174" s="289"/>
      <c r="I1174" s="289"/>
      <c r="J1174" s="87"/>
      <c r="K1174" s="87"/>
      <c r="L1174" s="87"/>
      <c r="M1174" s="289"/>
      <c r="N1174" s="87"/>
      <c r="O1174" s="87"/>
      <c r="P1174" s="87"/>
      <c r="Q1174" s="87"/>
      <c r="R1174" s="289"/>
      <c r="S1174" s="87"/>
      <c r="T1174" s="87"/>
      <c r="U1174" s="87"/>
      <c r="V1174" s="87"/>
      <c r="W1174" s="289"/>
    </row>
    <row r="1175" spans="1:23" s="290" customFormat="1" x14ac:dyDescent="0.2">
      <c r="A1175" s="286"/>
      <c r="B1175" s="287"/>
      <c r="C1175" s="288"/>
      <c r="D1175" s="87"/>
      <c r="E1175" s="87"/>
      <c r="F1175" s="87"/>
      <c r="G1175" s="87"/>
      <c r="H1175" s="289"/>
      <c r="I1175" s="289"/>
      <c r="J1175" s="87"/>
      <c r="K1175" s="87"/>
      <c r="L1175" s="87"/>
      <c r="M1175" s="289"/>
      <c r="N1175" s="87"/>
      <c r="O1175" s="87"/>
      <c r="P1175" s="87"/>
      <c r="Q1175" s="87"/>
      <c r="R1175" s="289"/>
      <c r="S1175" s="87"/>
      <c r="T1175" s="87"/>
      <c r="U1175" s="87"/>
      <c r="V1175" s="87"/>
      <c r="W1175" s="289"/>
    </row>
    <row r="1176" spans="1:23" s="290" customFormat="1" x14ac:dyDescent="0.2">
      <c r="A1176" s="286"/>
      <c r="B1176" s="287"/>
      <c r="C1176" s="288"/>
      <c r="D1176" s="87"/>
      <c r="E1176" s="87"/>
      <c r="F1176" s="87"/>
      <c r="G1176" s="87"/>
      <c r="H1176" s="289"/>
      <c r="I1176" s="289"/>
      <c r="J1176" s="87"/>
      <c r="K1176" s="87"/>
      <c r="L1176" s="87"/>
      <c r="M1176" s="289"/>
      <c r="N1176" s="87"/>
      <c r="O1176" s="87"/>
      <c r="P1176" s="87"/>
      <c r="Q1176" s="87"/>
      <c r="R1176" s="289"/>
      <c r="S1176" s="87"/>
      <c r="T1176" s="87"/>
      <c r="U1176" s="87"/>
      <c r="V1176" s="87"/>
      <c r="W1176" s="289"/>
    </row>
    <row r="1177" spans="1:23" s="290" customFormat="1" x14ac:dyDescent="0.2">
      <c r="A1177" s="286"/>
      <c r="B1177" s="287"/>
      <c r="C1177" s="288"/>
      <c r="D1177" s="87"/>
      <c r="E1177" s="87"/>
      <c r="F1177" s="87"/>
      <c r="G1177" s="87"/>
      <c r="H1177" s="289"/>
      <c r="I1177" s="289"/>
      <c r="J1177" s="87"/>
      <c r="K1177" s="87"/>
      <c r="L1177" s="87"/>
      <c r="M1177" s="289"/>
      <c r="N1177" s="87"/>
      <c r="O1177" s="87"/>
      <c r="P1177" s="87"/>
      <c r="Q1177" s="87"/>
      <c r="R1177" s="289"/>
      <c r="S1177" s="87"/>
      <c r="T1177" s="87"/>
      <c r="U1177" s="87"/>
      <c r="V1177" s="87"/>
      <c r="W1177" s="289"/>
    </row>
    <row r="1178" spans="1:23" s="290" customFormat="1" x14ac:dyDescent="0.2">
      <c r="A1178" s="286"/>
      <c r="B1178" s="287"/>
      <c r="C1178" s="288"/>
      <c r="D1178" s="87"/>
      <c r="E1178" s="87"/>
      <c r="F1178" s="87"/>
      <c r="G1178" s="87"/>
      <c r="H1178" s="289"/>
      <c r="I1178" s="289"/>
      <c r="J1178" s="87"/>
      <c r="K1178" s="87"/>
      <c r="L1178" s="87"/>
      <c r="M1178" s="289"/>
      <c r="N1178" s="87"/>
      <c r="O1178" s="87"/>
      <c r="P1178" s="87"/>
      <c r="Q1178" s="87"/>
      <c r="R1178" s="289"/>
      <c r="S1178" s="87"/>
      <c r="T1178" s="87"/>
      <c r="U1178" s="87"/>
      <c r="V1178" s="87"/>
      <c r="W1178" s="289"/>
    </row>
    <row r="1179" spans="1:23" s="290" customFormat="1" x14ac:dyDescent="0.2">
      <c r="A1179" s="286"/>
      <c r="B1179" s="287"/>
      <c r="C1179" s="288"/>
      <c r="D1179" s="87"/>
      <c r="E1179" s="87"/>
      <c r="F1179" s="87"/>
      <c r="G1179" s="87"/>
      <c r="H1179" s="289"/>
      <c r="I1179" s="289"/>
      <c r="J1179" s="87"/>
      <c r="K1179" s="87"/>
      <c r="L1179" s="87"/>
      <c r="M1179" s="289"/>
      <c r="N1179" s="87"/>
      <c r="O1179" s="87"/>
      <c r="P1179" s="87"/>
      <c r="Q1179" s="87"/>
      <c r="R1179" s="289"/>
      <c r="S1179" s="87"/>
      <c r="T1179" s="87"/>
      <c r="U1179" s="87"/>
      <c r="V1179" s="87"/>
      <c r="W1179" s="289"/>
    </row>
    <row r="1180" spans="1:23" s="290" customFormat="1" x14ac:dyDescent="0.2">
      <c r="A1180" s="286"/>
      <c r="B1180" s="287"/>
      <c r="C1180" s="288"/>
      <c r="D1180" s="87"/>
      <c r="E1180" s="87"/>
      <c r="F1180" s="87"/>
      <c r="G1180" s="87"/>
      <c r="H1180" s="289"/>
      <c r="I1180" s="289"/>
      <c r="J1180" s="87"/>
      <c r="K1180" s="87"/>
      <c r="L1180" s="87"/>
      <c r="M1180" s="289"/>
      <c r="N1180" s="87"/>
      <c r="O1180" s="87"/>
      <c r="P1180" s="87"/>
      <c r="Q1180" s="87"/>
      <c r="R1180" s="289"/>
      <c r="S1180" s="87"/>
      <c r="T1180" s="87"/>
      <c r="U1180" s="87"/>
      <c r="V1180" s="87"/>
      <c r="W1180" s="289"/>
    </row>
    <row r="1181" spans="1:23" s="290" customFormat="1" x14ac:dyDescent="0.2">
      <c r="A1181" s="286"/>
      <c r="B1181" s="287"/>
      <c r="C1181" s="288"/>
      <c r="D1181" s="87"/>
      <c r="E1181" s="87"/>
      <c r="F1181" s="87"/>
      <c r="G1181" s="87"/>
      <c r="H1181" s="289"/>
      <c r="I1181" s="289"/>
      <c r="J1181" s="87"/>
      <c r="K1181" s="87"/>
      <c r="L1181" s="87"/>
      <c r="M1181" s="289"/>
      <c r="N1181" s="87"/>
      <c r="O1181" s="87"/>
      <c r="P1181" s="87"/>
      <c r="Q1181" s="87"/>
      <c r="R1181" s="289"/>
      <c r="S1181" s="87"/>
      <c r="T1181" s="87"/>
      <c r="U1181" s="87"/>
      <c r="V1181" s="87"/>
      <c r="W1181" s="289"/>
    </row>
    <row r="1182" spans="1:23" s="290" customFormat="1" x14ac:dyDescent="0.2">
      <c r="A1182" s="286"/>
      <c r="B1182" s="287"/>
      <c r="C1182" s="288"/>
      <c r="D1182" s="87"/>
      <c r="E1182" s="87"/>
      <c r="F1182" s="87"/>
      <c r="G1182" s="87"/>
      <c r="H1182" s="289"/>
      <c r="I1182" s="289"/>
      <c r="J1182" s="87"/>
      <c r="K1182" s="87"/>
      <c r="L1182" s="87"/>
      <c r="M1182" s="289"/>
      <c r="N1182" s="87"/>
      <c r="O1182" s="87"/>
      <c r="P1182" s="87"/>
      <c r="Q1182" s="87"/>
      <c r="R1182" s="289"/>
      <c r="S1182" s="87"/>
      <c r="T1182" s="87"/>
      <c r="U1182" s="87"/>
      <c r="V1182" s="87"/>
      <c r="W1182" s="289"/>
    </row>
    <row r="1183" spans="1:23" s="290" customFormat="1" x14ac:dyDescent="0.2">
      <c r="A1183" s="286"/>
      <c r="B1183" s="287"/>
      <c r="C1183" s="288"/>
      <c r="D1183" s="87"/>
      <c r="E1183" s="87"/>
      <c r="F1183" s="87"/>
      <c r="G1183" s="87"/>
      <c r="H1183" s="289"/>
      <c r="I1183" s="289"/>
      <c r="J1183" s="87"/>
      <c r="K1183" s="87"/>
      <c r="L1183" s="87"/>
      <c r="M1183" s="289"/>
      <c r="N1183" s="87"/>
      <c r="O1183" s="87"/>
      <c r="P1183" s="87"/>
      <c r="Q1183" s="87"/>
      <c r="R1183" s="289"/>
      <c r="S1183" s="87"/>
      <c r="T1183" s="87"/>
      <c r="U1183" s="87"/>
      <c r="V1183" s="87"/>
      <c r="W1183" s="289"/>
    </row>
    <row r="1184" spans="1:23" s="290" customFormat="1" x14ac:dyDescent="0.2">
      <c r="A1184" s="286"/>
      <c r="B1184" s="287"/>
      <c r="C1184" s="288"/>
      <c r="D1184" s="87"/>
      <c r="E1184" s="87"/>
      <c r="F1184" s="87"/>
      <c r="G1184" s="87"/>
      <c r="H1184" s="289"/>
      <c r="I1184" s="289"/>
      <c r="J1184" s="87"/>
      <c r="K1184" s="87"/>
      <c r="L1184" s="87"/>
      <c r="M1184" s="289"/>
      <c r="N1184" s="87"/>
      <c r="O1184" s="87"/>
      <c r="P1184" s="87"/>
      <c r="Q1184" s="87"/>
      <c r="R1184" s="289"/>
      <c r="S1184" s="87"/>
      <c r="T1184" s="87"/>
      <c r="U1184" s="87"/>
      <c r="V1184" s="87"/>
      <c r="W1184" s="289"/>
    </row>
    <row r="1185" spans="1:23" s="290" customFormat="1" x14ac:dyDescent="0.2">
      <c r="A1185" s="286"/>
      <c r="B1185" s="287"/>
      <c r="C1185" s="288"/>
      <c r="D1185" s="87"/>
      <c r="E1185" s="87"/>
      <c r="F1185" s="87"/>
      <c r="G1185" s="87"/>
      <c r="H1185" s="289"/>
      <c r="I1185" s="289"/>
      <c r="J1185" s="87"/>
      <c r="K1185" s="87"/>
      <c r="L1185" s="87"/>
      <c r="M1185" s="289"/>
      <c r="N1185" s="87"/>
      <c r="O1185" s="87"/>
      <c r="P1185" s="87"/>
      <c r="Q1185" s="87"/>
      <c r="R1185" s="289"/>
      <c r="S1185" s="87"/>
      <c r="T1185" s="87"/>
      <c r="U1185" s="87"/>
      <c r="V1185" s="87"/>
      <c r="W1185" s="289"/>
    </row>
    <row r="1186" spans="1:23" s="290" customFormat="1" x14ac:dyDescent="0.2">
      <c r="A1186" s="286"/>
      <c r="B1186" s="287"/>
      <c r="C1186" s="288"/>
      <c r="D1186" s="87"/>
      <c r="E1186" s="87"/>
      <c r="F1186" s="87"/>
      <c r="G1186" s="87"/>
      <c r="H1186" s="289"/>
      <c r="I1186" s="289"/>
      <c r="J1186" s="87"/>
      <c r="K1186" s="87"/>
      <c r="L1186" s="87"/>
      <c r="M1186" s="289"/>
      <c r="N1186" s="87"/>
      <c r="O1186" s="87"/>
      <c r="P1186" s="87"/>
      <c r="Q1186" s="87"/>
      <c r="R1186" s="289"/>
      <c r="S1186" s="87"/>
      <c r="T1186" s="87"/>
      <c r="U1186" s="87"/>
      <c r="V1186" s="87"/>
      <c r="W1186" s="289"/>
    </row>
    <row r="1187" spans="1:23" s="290" customFormat="1" x14ac:dyDescent="0.2">
      <c r="A1187" s="286"/>
      <c r="B1187" s="287"/>
      <c r="C1187" s="288"/>
      <c r="D1187" s="87"/>
      <c r="E1187" s="87"/>
      <c r="F1187" s="87"/>
      <c r="G1187" s="87"/>
      <c r="H1187" s="289"/>
      <c r="I1187" s="289"/>
      <c r="J1187" s="87"/>
      <c r="K1187" s="87"/>
      <c r="L1187" s="87"/>
      <c r="M1187" s="289"/>
      <c r="N1187" s="87"/>
      <c r="O1187" s="87"/>
      <c r="P1187" s="87"/>
      <c r="Q1187" s="87"/>
      <c r="R1187" s="289"/>
      <c r="S1187" s="87"/>
      <c r="T1187" s="87"/>
      <c r="U1187" s="87"/>
      <c r="V1187" s="87"/>
      <c r="W1187" s="289"/>
    </row>
    <row r="1188" spans="1:23" s="290" customFormat="1" x14ac:dyDescent="0.2">
      <c r="A1188" s="286"/>
      <c r="B1188" s="287"/>
      <c r="C1188" s="288"/>
      <c r="D1188" s="87"/>
      <c r="E1188" s="87"/>
      <c r="F1188" s="87"/>
      <c r="G1188" s="87"/>
      <c r="H1188" s="289"/>
      <c r="I1188" s="289"/>
      <c r="J1188" s="87"/>
      <c r="K1188" s="87"/>
      <c r="L1188" s="87"/>
      <c r="M1188" s="289"/>
      <c r="N1188" s="87"/>
      <c r="O1188" s="87"/>
      <c r="P1188" s="87"/>
      <c r="Q1188" s="87"/>
      <c r="R1188" s="289"/>
      <c r="S1188" s="87"/>
      <c r="T1188" s="87"/>
      <c r="U1188" s="87"/>
      <c r="V1188" s="87"/>
      <c r="W1188" s="289"/>
    </row>
    <row r="1189" spans="1:23" s="290" customFormat="1" x14ac:dyDescent="0.2">
      <c r="A1189" s="286"/>
      <c r="B1189" s="287"/>
      <c r="C1189" s="288"/>
      <c r="D1189" s="87"/>
      <c r="E1189" s="87"/>
      <c r="F1189" s="87"/>
      <c r="G1189" s="87"/>
      <c r="H1189" s="289"/>
      <c r="I1189" s="289"/>
      <c r="J1189" s="87"/>
      <c r="K1189" s="87"/>
      <c r="L1189" s="87"/>
      <c r="M1189" s="289"/>
      <c r="N1189" s="87"/>
      <c r="O1189" s="87"/>
      <c r="P1189" s="87"/>
      <c r="Q1189" s="87"/>
      <c r="R1189" s="289"/>
      <c r="S1189" s="87"/>
      <c r="T1189" s="87"/>
      <c r="U1189" s="87"/>
      <c r="V1189" s="87"/>
      <c r="W1189" s="289"/>
    </row>
    <row r="1190" spans="1:23" s="290" customFormat="1" x14ac:dyDescent="0.2">
      <c r="A1190" s="286"/>
      <c r="B1190" s="287"/>
      <c r="C1190" s="288"/>
      <c r="D1190" s="87"/>
      <c r="E1190" s="87"/>
      <c r="F1190" s="87"/>
      <c r="G1190" s="87"/>
      <c r="H1190" s="289"/>
      <c r="I1190" s="289"/>
      <c r="J1190" s="87"/>
      <c r="K1190" s="87"/>
      <c r="L1190" s="87"/>
      <c r="M1190" s="289"/>
      <c r="N1190" s="87"/>
      <c r="O1190" s="87"/>
      <c r="P1190" s="87"/>
      <c r="Q1190" s="87"/>
      <c r="R1190" s="289"/>
      <c r="S1190" s="87"/>
      <c r="T1190" s="87"/>
      <c r="U1190" s="87"/>
      <c r="V1190" s="87"/>
      <c r="W1190" s="289"/>
    </row>
    <row r="1191" spans="1:23" s="290" customFormat="1" x14ac:dyDescent="0.2">
      <c r="A1191" s="286"/>
      <c r="B1191" s="287"/>
      <c r="C1191" s="288"/>
      <c r="D1191" s="87"/>
      <c r="E1191" s="87"/>
      <c r="F1191" s="87"/>
      <c r="G1191" s="87"/>
      <c r="H1191" s="289"/>
      <c r="I1191" s="289"/>
      <c r="J1191" s="87"/>
      <c r="K1191" s="87"/>
      <c r="L1191" s="87"/>
      <c r="M1191" s="289"/>
      <c r="N1191" s="87"/>
      <c r="O1191" s="87"/>
      <c r="P1191" s="87"/>
      <c r="Q1191" s="87"/>
      <c r="R1191" s="289"/>
      <c r="S1191" s="87"/>
      <c r="T1191" s="87"/>
      <c r="U1191" s="87"/>
      <c r="V1191" s="87"/>
      <c r="W1191" s="289"/>
    </row>
    <row r="1192" spans="1:23" s="290" customFormat="1" x14ac:dyDescent="0.2">
      <c r="A1192" s="286"/>
      <c r="B1192" s="287"/>
      <c r="C1192" s="288"/>
      <c r="D1192" s="87"/>
      <c r="E1192" s="87"/>
      <c r="F1192" s="87"/>
      <c r="G1192" s="87"/>
      <c r="H1192" s="289"/>
      <c r="I1192" s="289"/>
      <c r="J1192" s="87"/>
      <c r="K1192" s="87"/>
      <c r="L1192" s="87"/>
      <c r="M1192" s="289"/>
      <c r="N1192" s="87"/>
      <c r="O1192" s="87"/>
      <c r="P1192" s="87"/>
      <c r="Q1192" s="87"/>
      <c r="R1192" s="289"/>
      <c r="S1192" s="87"/>
      <c r="T1192" s="87"/>
      <c r="U1192" s="87"/>
      <c r="V1192" s="87"/>
      <c r="W1192" s="289"/>
    </row>
    <row r="1193" spans="1:23" s="290" customFormat="1" x14ac:dyDescent="0.2">
      <c r="A1193" s="286"/>
      <c r="B1193" s="287"/>
      <c r="C1193" s="288"/>
      <c r="D1193" s="87"/>
      <c r="E1193" s="87"/>
      <c r="F1193" s="87"/>
      <c r="G1193" s="87"/>
      <c r="H1193" s="289"/>
      <c r="I1193" s="289"/>
      <c r="J1193" s="87"/>
      <c r="K1193" s="87"/>
      <c r="L1193" s="87"/>
      <c r="M1193" s="289"/>
      <c r="N1193" s="87"/>
      <c r="O1193" s="87"/>
      <c r="P1193" s="87"/>
      <c r="Q1193" s="87"/>
      <c r="R1193" s="289"/>
      <c r="S1193" s="87"/>
      <c r="T1193" s="87"/>
      <c r="U1193" s="87"/>
      <c r="V1193" s="87"/>
      <c r="W1193" s="289"/>
    </row>
    <row r="1194" spans="1:23" s="290" customFormat="1" x14ac:dyDescent="0.2">
      <c r="A1194" s="286"/>
      <c r="B1194" s="287"/>
      <c r="C1194" s="288"/>
      <c r="D1194" s="87"/>
      <c r="E1194" s="87"/>
      <c r="F1194" s="87"/>
      <c r="G1194" s="87"/>
      <c r="H1194" s="289"/>
      <c r="I1194" s="289"/>
      <c r="J1194" s="87"/>
      <c r="K1194" s="87"/>
      <c r="L1194" s="87"/>
      <c r="M1194" s="289"/>
      <c r="N1194" s="87"/>
      <c r="O1194" s="87"/>
      <c r="P1194" s="87"/>
      <c r="Q1194" s="87"/>
      <c r="R1194" s="289"/>
      <c r="S1194" s="87"/>
      <c r="T1194" s="87"/>
      <c r="U1194" s="87"/>
      <c r="V1194" s="87"/>
      <c r="W1194" s="289"/>
    </row>
    <row r="1195" spans="1:23" s="290" customFormat="1" x14ac:dyDescent="0.2">
      <c r="A1195" s="286"/>
      <c r="B1195" s="287"/>
      <c r="C1195" s="288"/>
      <c r="D1195" s="87"/>
      <c r="E1195" s="87"/>
      <c r="F1195" s="87"/>
      <c r="G1195" s="87"/>
      <c r="H1195" s="289"/>
      <c r="I1195" s="289"/>
      <c r="J1195" s="87"/>
      <c r="K1195" s="87"/>
      <c r="L1195" s="87"/>
      <c r="M1195" s="289"/>
      <c r="N1195" s="87"/>
      <c r="O1195" s="87"/>
      <c r="P1195" s="87"/>
      <c r="Q1195" s="87"/>
      <c r="R1195" s="289"/>
      <c r="S1195" s="87"/>
      <c r="T1195" s="87"/>
      <c r="U1195" s="87"/>
      <c r="V1195" s="87"/>
      <c r="W1195" s="289"/>
    </row>
    <row r="1196" spans="1:23" s="290" customFormat="1" x14ac:dyDescent="0.2">
      <c r="A1196" s="286"/>
      <c r="B1196" s="287"/>
      <c r="C1196" s="288"/>
      <c r="D1196" s="87"/>
      <c r="E1196" s="87"/>
      <c r="F1196" s="87"/>
      <c r="G1196" s="87"/>
      <c r="H1196" s="289"/>
      <c r="I1196" s="289"/>
      <c r="J1196" s="87"/>
      <c r="K1196" s="87"/>
      <c r="L1196" s="87"/>
      <c r="M1196" s="289"/>
      <c r="N1196" s="87"/>
      <c r="O1196" s="87"/>
      <c r="P1196" s="87"/>
      <c r="Q1196" s="87"/>
      <c r="R1196" s="289"/>
      <c r="S1196" s="87"/>
      <c r="T1196" s="87"/>
      <c r="U1196" s="87"/>
      <c r="V1196" s="87"/>
      <c r="W1196" s="289"/>
    </row>
    <row r="1197" spans="1:23" s="290" customFormat="1" x14ac:dyDescent="0.2">
      <c r="A1197" s="286"/>
      <c r="B1197" s="287"/>
      <c r="C1197" s="288"/>
      <c r="D1197" s="87"/>
      <c r="E1197" s="87"/>
      <c r="F1197" s="87"/>
      <c r="G1197" s="87"/>
      <c r="H1197" s="289"/>
      <c r="I1197" s="289"/>
      <c r="J1197" s="87"/>
      <c r="K1197" s="87"/>
      <c r="L1197" s="87"/>
      <c r="M1197" s="289"/>
      <c r="N1197" s="87"/>
      <c r="O1197" s="87"/>
      <c r="P1197" s="87"/>
      <c r="Q1197" s="87"/>
      <c r="R1197" s="289"/>
      <c r="S1197" s="87"/>
      <c r="T1197" s="87"/>
      <c r="U1197" s="87"/>
      <c r="V1197" s="87"/>
      <c r="W1197" s="289"/>
    </row>
    <row r="1198" spans="1:23" s="290" customFormat="1" x14ac:dyDescent="0.2">
      <c r="A1198" s="286"/>
      <c r="B1198" s="287"/>
      <c r="C1198" s="288"/>
      <c r="D1198" s="87"/>
      <c r="E1198" s="87"/>
      <c r="F1198" s="87"/>
      <c r="G1198" s="87"/>
      <c r="H1198" s="289"/>
      <c r="I1198" s="289"/>
      <c r="J1198" s="87"/>
      <c r="K1198" s="87"/>
      <c r="L1198" s="87"/>
      <c r="M1198" s="289"/>
      <c r="N1198" s="87"/>
      <c r="O1198" s="87"/>
      <c r="P1198" s="87"/>
      <c r="Q1198" s="87"/>
      <c r="R1198" s="289"/>
      <c r="S1198" s="87"/>
      <c r="T1198" s="87"/>
      <c r="U1198" s="87"/>
      <c r="V1198" s="87"/>
      <c r="W1198" s="289"/>
    </row>
    <row r="1199" spans="1:23" s="290" customFormat="1" x14ac:dyDescent="0.2">
      <c r="A1199" s="286"/>
      <c r="B1199" s="287"/>
      <c r="C1199" s="288"/>
      <c r="D1199" s="87"/>
      <c r="E1199" s="87"/>
      <c r="F1199" s="87"/>
      <c r="G1199" s="87"/>
      <c r="H1199" s="289"/>
      <c r="I1199" s="289"/>
      <c r="J1199" s="87"/>
      <c r="K1199" s="87"/>
      <c r="L1199" s="87"/>
      <c r="M1199" s="289"/>
      <c r="N1199" s="87"/>
      <c r="O1199" s="87"/>
      <c r="P1199" s="87"/>
      <c r="Q1199" s="87"/>
      <c r="R1199" s="289"/>
      <c r="S1199" s="87"/>
      <c r="T1199" s="87"/>
      <c r="U1199" s="87"/>
      <c r="V1199" s="87"/>
      <c r="W1199" s="289"/>
    </row>
    <row r="1200" spans="1:23" s="290" customFormat="1" x14ac:dyDescent="0.2">
      <c r="A1200" s="286"/>
      <c r="B1200" s="287"/>
      <c r="C1200" s="288"/>
      <c r="D1200" s="87"/>
      <c r="E1200" s="87"/>
      <c r="F1200" s="87"/>
      <c r="G1200" s="87"/>
      <c r="H1200" s="289"/>
      <c r="I1200" s="289"/>
      <c r="J1200" s="87"/>
      <c r="K1200" s="87"/>
      <c r="L1200" s="87"/>
      <c r="M1200" s="289"/>
      <c r="N1200" s="87"/>
      <c r="O1200" s="87"/>
      <c r="P1200" s="87"/>
      <c r="Q1200" s="87"/>
      <c r="R1200" s="289"/>
      <c r="S1200" s="87"/>
      <c r="T1200" s="87"/>
      <c r="U1200" s="87"/>
      <c r="V1200" s="87"/>
      <c r="W1200" s="289"/>
    </row>
    <row r="1201" spans="1:23" s="290" customFormat="1" x14ac:dyDescent="0.2">
      <c r="A1201" s="286"/>
      <c r="B1201" s="287"/>
      <c r="C1201" s="288"/>
      <c r="D1201" s="87"/>
      <c r="E1201" s="87"/>
      <c r="F1201" s="87"/>
      <c r="G1201" s="87"/>
      <c r="H1201" s="289"/>
      <c r="I1201" s="289"/>
      <c r="J1201" s="87"/>
      <c r="K1201" s="87"/>
      <c r="L1201" s="87"/>
      <c r="M1201" s="289"/>
      <c r="N1201" s="87"/>
      <c r="O1201" s="87"/>
      <c r="P1201" s="87"/>
      <c r="Q1201" s="87"/>
      <c r="R1201" s="289"/>
      <c r="S1201" s="87"/>
      <c r="T1201" s="87"/>
      <c r="U1201" s="87"/>
      <c r="V1201" s="87"/>
      <c r="W1201" s="289"/>
    </row>
    <row r="1202" spans="1:23" s="290" customFormat="1" x14ac:dyDescent="0.2">
      <c r="A1202" s="286"/>
      <c r="B1202" s="287"/>
      <c r="C1202" s="288"/>
      <c r="D1202" s="87"/>
      <c r="E1202" s="87"/>
      <c r="F1202" s="87"/>
      <c r="G1202" s="87"/>
      <c r="H1202" s="289"/>
      <c r="I1202" s="289"/>
      <c r="J1202" s="87"/>
      <c r="K1202" s="87"/>
      <c r="L1202" s="87"/>
      <c r="M1202" s="289"/>
      <c r="N1202" s="87"/>
      <c r="O1202" s="87"/>
      <c r="P1202" s="87"/>
      <c r="Q1202" s="87"/>
      <c r="R1202" s="289"/>
      <c r="S1202" s="87"/>
      <c r="T1202" s="87"/>
      <c r="U1202" s="87"/>
      <c r="V1202" s="87"/>
      <c r="W1202" s="289"/>
    </row>
    <row r="1203" spans="1:23" s="290" customFormat="1" x14ac:dyDescent="0.2">
      <c r="A1203" s="286"/>
      <c r="B1203" s="287"/>
      <c r="C1203" s="288"/>
      <c r="D1203" s="87"/>
      <c r="E1203" s="87"/>
      <c r="F1203" s="87"/>
      <c r="G1203" s="87"/>
      <c r="H1203" s="289"/>
      <c r="I1203" s="289"/>
      <c r="J1203" s="87"/>
      <c r="K1203" s="87"/>
      <c r="L1203" s="87"/>
      <c r="M1203" s="289"/>
      <c r="N1203" s="87"/>
      <c r="O1203" s="87"/>
      <c r="P1203" s="87"/>
      <c r="Q1203" s="87"/>
      <c r="R1203" s="289"/>
      <c r="S1203" s="87"/>
      <c r="T1203" s="87"/>
      <c r="U1203" s="87"/>
      <c r="V1203" s="87"/>
      <c r="W1203" s="289"/>
    </row>
    <row r="1204" spans="1:23" s="290" customFormat="1" x14ac:dyDescent="0.2">
      <c r="A1204" s="286"/>
      <c r="B1204" s="287"/>
      <c r="C1204" s="288"/>
      <c r="D1204" s="87"/>
      <c r="E1204" s="87"/>
      <c r="F1204" s="87"/>
      <c r="G1204" s="87"/>
      <c r="H1204" s="289"/>
      <c r="I1204" s="289"/>
      <c r="J1204" s="87"/>
      <c r="K1204" s="87"/>
      <c r="L1204" s="87"/>
      <c r="M1204" s="289"/>
      <c r="N1204" s="87"/>
      <c r="O1204" s="87"/>
      <c r="P1204" s="87"/>
      <c r="Q1204" s="87"/>
      <c r="R1204" s="289"/>
      <c r="S1204" s="87"/>
      <c r="T1204" s="87"/>
      <c r="U1204" s="87"/>
      <c r="V1204" s="87"/>
      <c r="W1204" s="289"/>
    </row>
    <row r="1205" spans="1:23" s="290" customFormat="1" x14ac:dyDescent="0.2">
      <c r="A1205" s="286"/>
      <c r="B1205" s="287"/>
      <c r="C1205" s="288"/>
      <c r="D1205" s="87"/>
      <c r="E1205" s="87"/>
      <c r="F1205" s="87"/>
      <c r="G1205" s="87"/>
      <c r="H1205" s="289"/>
      <c r="I1205" s="289"/>
      <c r="J1205" s="87"/>
      <c r="K1205" s="87"/>
      <c r="L1205" s="87"/>
      <c r="M1205" s="289"/>
      <c r="N1205" s="87"/>
      <c r="O1205" s="87"/>
      <c r="P1205" s="87"/>
      <c r="Q1205" s="87"/>
      <c r="R1205" s="289"/>
      <c r="S1205" s="87"/>
      <c r="T1205" s="87"/>
      <c r="U1205" s="87"/>
      <c r="V1205" s="87"/>
      <c r="W1205" s="289"/>
    </row>
    <row r="1206" spans="1:23" s="290" customFormat="1" x14ac:dyDescent="0.2">
      <c r="A1206" s="286"/>
      <c r="B1206" s="287"/>
      <c r="C1206" s="288"/>
      <c r="D1206" s="87"/>
      <c r="E1206" s="87"/>
      <c r="F1206" s="87"/>
      <c r="G1206" s="87"/>
      <c r="H1206" s="289"/>
      <c r="I1206" s="289"/>
      <c r="J1206" s="87"/>
      <c r="K1206" s="87"/>
      <c r="L1206" s="87"/>
      <c r="M1206" s="289"/>
      <c r="N1206" s="87"/>
      <c r="O1206" s="87"/>
      <c r="P1206" s="87"/>
      <c r="Q1206" s="87"/>
      <c r="R1206" s="289"/>
      <c r="S1206" s="87"/>
      <c r="T1206" s="87"/>
      <c r="U1206" s="87"/>
      <c r="V1206" s="87"/>
      <c r="W1206" s="289"/>
    </row>
    <row r="1207" spans="1:23" s="290" customFormat="1" x14ac:dyDescent="0.2">
      <c r="A1207" s="286"/>
      <c r="B1207" s="287"/>
      <c r="C1207" s="288"/>
      <c r="D1207" s="87"/>
      <c r="E1207" s="87"/>
      <c r="F1207" s="87"/>
      <c r="G1207" s="87"/>
      <c r="H1207" s="289"/>
      <c r="I1207" s="289"/>
      <c r="J1207" s="87"/>
      <c r="K1207" s="87"/>
      <c r="L1207" s="87"/>
      <c r="M1207" s="289"/>
      <c r="N1207" s="87"/>
      <c r="O1207" s="87"/>
      <c r="P1207" s="87"/>
      <c r="Q1207" s="87"/>
      <c r="R1207" s="289"/>
      <c r="S1207" s="87"/>
      <c r="T1207" s="87"/>
      <c r="U1207" s="87"/>
      <c r="V1207" s="87"/>
      <c r="W1207" s="289"/>
    </row>
    <row r="1208" spans="1:23" s="290" customFormat="1" x14ac:dyDescent="0.2">
      <c r="A1208" s="286"/>
      <c r="B1208" s="287"/>
      <c r="C1208" s="288"/>
      <c r="D1208" s="87"/>
      <c r="E1208" s="87"/>
      <c r="F1208" s="87"/>
      <c r="G1208" s="87"/>
      <c r="H1208" s="289"/>
      <c r="I1208" s="289"/>
      <c r="J1208" s="87"/>
      <c r="K1208" s="87"/>
      <c r="L1208" s="87"/>
      <c r="M1208" s="289"/>
      <c r="N1208" s="87"/>
      <c r="O1208" s="87"/>
      <c r="P1208" s="87"/>
      <c r="Q1208" s="87"/>
      <c r="R1208" s="289"/>
      <c r="S1208" s="87"/>
      <c r="T1208" s="87"/>
      <c r="U1208" s="87"/>
      <c r="V1208" s="87"/>
      <c r="W1208" s="289"/>
    </row>
    <row r="1209" spans="1:23" s="290" customFormat="1" x14ac:dyDescent="0.2">
      <c r="A1209" s="286"/>
      <c r="B1209" s="287"/>
      <c r="C1209" s="288"/>
      <c r="D1209" s="87"/>
      <c r="E1209" s="87"/>
      <c r="F1209" s="87"/>
      <c r="G1209" s="87"/>
      <c r="H1209" s="289"/>
      <c r="I1209" s="289"/>
      <c r="J1209" s="87"/>
      <c r="K1209" s="87"/>
      <c r="L1209" s="87"/>
      <c r="M1209" s="289"/>
      <c r="N1209" s="87"/>
      <c r="O1209" s="87"/>
      <c r="P1209" s="87"/>
      <c r="Q1209" s="87"/>
      <c r="R1209" s="289"/>
      <c r="S1209" s="87"/>
      <c r="T1209" s="87"/>
      <c r="U1209" s="87"/>
      <c r="V1209" s="87"/>
      <c r="W1209" s="289"/>
    </row>
    <row r="1210" spans="1:23" s="290" customFormat="1" x14ac:dyDescent="0.2">
      <c r="A1210" s="286"/>
      <c r="B1210" s="287"/>
      <c r="C1210" s="288"/>
      <c r="D1210" s="87"/>
      <c r="E1210" s="87"/>
      <c r="F1210" s="87"/>
      <c r="G1210" s="87"/>
      <c r="H1210" s="289"/>
      <c r="I1210" s="289"/>
      <c r="J1210" s="87"/>
      <c r="K1210" s="87"/>
      <c r="L1210" s="87"/>
      <c r="M1210" s="289"/>
      <c r="N1210" s="87"/>
      <c r="O1210" s="87"/>
      <c r="P1210" s="87"/>
      <c r="Q1210" s="87"/>
      <c r="R1210" s="289"/>
      <c r="S1210" s="87"/>
      <c r="T1210" s="87"/>
      <c r="U1210" s="87"/>
      <c r="V1210" s="87"/>
      <c r="W1210" s="289"/>
    </row>
    <row r="1211" spans="1:23" s="290" customFormat="1" x14ac:dyDescent="0.2">
      <c r="A1211" s="286"/>
      <c r="B1211" s="287"/>
      <c r="C1211" s="288"/>
      <c r="D1211" s="87"/>
      <c r="E1211" s="87"/>
      <c r="F1211" s="87"/>
      <c r="G1211" s="87"/>
      <c r="H1211" s="289"/>
      <c r="I1211" s="289"/>
      <c r="J1211" s="87"/>
      <c r="K1211" s="87"/>
      <c r="L1211" s="87"/>
      <c r="M1211" s="289"/>
      <c r="N1211" s="87"/>
      <c r="O1211" s="87"/>
      <c r="P1211" s="87"/>
      <c r="Q1211" s="87"/>
      <c r="R1211" s="289"/>
      <c r="S1211" s="87"/>
      <c r="T1211" s="87"/>
      <c r="U1211" s="87"/>
      <c r="V1211" s="87"/>
      <c r="W1211" s="289"/>
    </row>
    <row r="1212" spans="1:23" s="290" customFormat="1" x14ac:dyDescent="0.2">
      <c r="A1212" s="286"/>
      <c r="B1212" s="287"/>
      <c r="C1212" s="288"/>
      <c r="D1212" s="87"/>
      <c r="E1212" s="87"/>
      <c r="F1212" s="87"/>
      <c r="G1212" s="87"/>
      <c r="H1212" s="289"/>
      <c r="I1212" s="289"/>
      <c r="J1212" s="87"/>
      <c r="K1212" s="87"/>
      <c r="L1212" s="87"/>
      <c r="M1212" s="289"/>
      <c r="N1212" s="87"/>
      <c r="O1212" s="87"/>
      <c r="P1212" s="87"/>
      <c r="Q1212" s="87"/>
      <c r="R1212" s="289"/>
      <c r="S1212" s="87"/>
      <c r="T1212" s="87"/>
      <c r="U1212" s="87"/>
      <c r="V1212" s="87"/>
      <c r="W1212" s="289"/>
    </row>
    <row r="1213" spans="1:23" s="290" customFormat="1" x14ac:dyDescent="0.2">
      <c r="A1213" s="286"/>
      <c r="B1213" s="287"/>
      <c r="C1213" s="288"/>
      <c r="D1213" s="87"/>
      <c r="E1213" s="87"/>
      <c r="F1213" s="87"/>
      <c r="G1213" s="87"/>
      <c r="H1213" s="289"/>
      <c r="I1213" s="289"/>
      <c r="J1213" s="87"/>
      <c r="K1213" s="87"/>
      <c r="L1213" s="87"/>
      <c r="M1213" s="289"/>
      <c r="N1213" s="87"/>
      <c r="O1213" s="87"/>
      <c r="P1213" s="87"/>
      <c r="Q1213" s="87"/>
      <c r="R1213" s="289"/>
      <c r="S1213" s="87"/>
      <c r="T1213" s="87"/>
      <c r="U1213" s="87"/>
      <c r="V1213" s="87"/>
      <c r="W1213" s="289"/>
    </row>
    <row r="1214" spans="1:23" s="290" customFormat="1" x14ac:dyDescent="0.2">
      <c r="A1214" s="286"/>
      <c r="B1214" s="287"/>
      <c r="C1214" s="288"/>
      <c r="D1214" s="87"/>
      <c r="E1214" s="87"/>
      <c r="F1214" s="87"/>
      <c r="G1214" s="87"/>
      <c r="H1214" s="289"/>
      <c r="I1214" s="289"/>
      <c r="J1214" s="87"/>
      <c r="K1214" s="87"/>
      <c r="L1214" s="87"/>
      <c r="M1214" s="289"/>
      <c r="N1214" s="87"/>
      <c r="O1214" s="87"/>
      <c r="P1214" s="87"/>
      <c r="Q1214" s="87"/>
      <c r="R1214" s="289"/>
      <c r="S1214" s="87"/>
      <c r="T1214" s="87"/>
      <c r="U1214" s="87"/>
      <c r="V1214" s="87"/>
      <c r="W1214" s="289"/>
    </row>
    <row r="1215" spans="1:23" s="290" customFormat="1" x14ac:dyDescent="0.2">
      <c r="A1215" s="286"/>
      <c r="B1215" s="287"/>
      <c r="C1215" s="288"/>
      <c r="D1215" s="87"/>
      <c r="E1215" s="87"/>
      <c r="F1215" s="87"/>
      <c r="G1215" s="87"/>
      <c r="H1215" s="289"/>
      <c r="I1215" s="289"/>
      <c r="J1215" s="87"/>
      <c r="K1215" s="87"/>
      <c r="L1215" s="87"/>
      <c r="M1215" s="289"/>
      <c r="N1215" s="87"/>
      <c r="O1215" s="87"/>
      <c r="P1215" s="87"/>
      <c r="Q1215" s="87"/>
      <c r="R1215" s="289"/>
      <c r="S1215" s="87"/>
      <c r="T1215" s="87"/>
      <c r="U1215" s="87"/>
      <c r="V1215" s="87"/>
      <c r="W1215" s="289"/>
    </row>
    <row r="1216" spans="1:23" s="290" customFormat="1" x14ac:dyDescent="0.2">
      <c r="A1216" s="286"/>
      <c r="B1216" s="287"/>
      <c r="C1216" s="288"/>
      <c r="D1216" s="87"/>
      <c r="E1216" s="87"/>
      <c r="F1216" s="87"/>
      <c r="G1216" s="87"/>
      <c r="H1216" s="289"/>
      <c r="I1216" s="289"/>
      <c r="J1216" s="87"/>
      <c r="K1216" s="87"/>
      <c r="L1216" s="87"/>
      <c r="M1216" s="289"/>
      <c r="N1216" s="87"/>
      <c r="O1216" s="87"/>
      <c r="P1216" s="87"/>
      <c r="Q1216" s="87"/>
      <c r="R1216" s="289"/>
      <c r="S1216" s="87"/>
      <c r="T1216" s="87"/>
      <c r="U1216" s="87"/>
      <c r="V1216" s="87"/>
      <c r="W1216" s="289"/>
    </row>
    <row r="1217" spans="1:23" s="290" customFormat="1" x14ac:dyDescent="0.2">
      <c r="A1217" s="286"/>
      <c r="B1217" s="287"/>
      <c r="C1217" s="288"/>
      <c r="D1217" s="87"/>
      <c r="E1217" s="87"/>
      <c r="F1217" s="87"/>
      <c r="G1217" s="87"/>
      <c r="H1217" s="289"/>
      <c r="I1217" s="289"/>
      <c r="J1217" s="87"/>
      <c r="K1217" s="87"/>
      <c r="L1217" s="87"/>
      <c r="M1217" s="289"/>
      <c r="N1217" s="87"/>
      <c r="O1217" s="87"/>
      <c r="P1217" s="87"/>
      <c r="Q1217" s="87"/>
      <c r="R1217" s="289"/>
      <c r="S1217" s="87"/>
      <c r="T1217" s="87"/>
      <c r="U1217" s="87"/>
      <c r="V1217" s="87"/>
      <c r="W1217" s="289"/>
    </row>
    <row r="1218" spans="1:23" s="290" customFormat="1" x14ac:dyDescent="0.2">
      <c r="A1218" s="286"/>
      <c r="B1218" s="287"/>
      <c r="C1218" s="288"/>
      <c r="D1218" s="87"/>
      <c r="E1218" s="87"/>
      <c r="F1218" s="87"/>
      <c r="G1218" s="87"/>
      <c r="H1218" s="289"/>
      <c r="I1218" s="289"/>
      <c r="J1218" s="87"/>
      <c r="K1218" s="87"/>
      <c r="L1218" s="87"/>
      <c r="M1218" s="289"/>
      <c r="N1218" s="87"/>
      <c r="O1218" s="87"/>
      <c r="P1218" s="87"/>
      <c r="Q1218" s="87"/>
      <c r="R1218" s="289"/>
      <c r="S1218" s="87"/>
      <c r="T1218" s="87"/>
      <c r="U1218" s="87"/>
      <c r="V1218" s="87"/>
      <c r="W1218" s="289"/>
    </row>
    <row r="1219" spans="1:23" s="290" customFormat="1" x14ac:dyDescent="0.2">
      <c r="A1219" s="286"/>
      <c r="B1219" s="287"/>
      <c r="C1219" s="288"/>
      <c r="D1219" s="87"/>
      <c r="E1219" s="87"/>
      <c r="F1219" s="87"/>
      <c r="G1219" s="87"/>
      <c r="H1219" s="289"/>
      <c r="I1219" s="289"/>
      <c r="J1219" s="87"/>
      <c r="K1219" s="87"/>
      <c r="L1219" s="87"/>
      <c r="M1219" s="289"/>
      <c r="N1219" s="87"/>
      <c r="O1219" s="87"/>
      <c r="P1219" s="87"/>
      <c r="Q1219" s="87"/>
      <c r="R1219" s="289"/>
      <c r="S1219" s="87"/>
      <c r="T1219" s="87"/>
      <c r="U1219" s="87"/>
      <c r="V1219" s="87"/>
      <c r="W1219" s="289"/>
    </row>
    <row r="1220" spans="1:23" s="290" customFormat="1" x14ac:dyDescent="0.2">
      <c r="A1220" s="286"/>
      <c r="B1220" s="287"/>
      <c r="C1220" s="288"/>
      <c r="D1220" s="87"/>
      <c r="E1220" s="87"/>
      <c r="F1220" s="87"/>
      <c r="G1220" s="87"/>
      <c r="H1220" s="289"/>
      <c r="I1220" s="289"/>
      <c r="J1220" s="87"/>
      <c r="K1220" s="87"/>
      <c r="L1220" s="87"/>
      <c r="M1220" s="289"/>
      <c r="N1220" s="87"/>
      <c r="O1220" s="87"/>
      <c r="P1220" s="87"/>
      <c r="Q1220" s="87"/>
      <c r="R1220" s="289"/>
      <c r="S1220" s="87"/>
      <c r="T1220" s="87"/>
      <c r="U1220" s="87"/>
      <c r="V1220" s="87"/>
      <c r="W1220" s="289"/>
    </row>
    <row r="1221" spans="1:23" s="290" customFormat="1" x14ac:dyDescent="0.2">
      <c r="A1221" s="286"/>
      <c r="B1221" s="287"/>
      <c r="C1221" s="288"/>
      <c r="D1221" s="87"/>
      <c r="E1221" s="87"/>
      <c r="F1221" s="87"/>
      <c r="G1221" s="87"/>
      <c r="H1221" s="289"/>
      <c r="I1221" s="289"/>
      <c r="J1221" s="87"/>
      <c r="K1221" s="87"/>
      <c r="L1221" s="87"/>
      <c r="M1221" s="289"/>
      <c r="N1221" s="87"/>
      <c r="O1221" s="87"/>
      <c r="P1221" s="87"/>
      <c r="Q1221" s="87"/>
      <c r="R1221" s="289"/>
      <c r="S1221" s="87"/>
      <c r="T1221" s="87"/>
      <c r="U1221" s="87"/>
      <c r="V1221" s="87"/>
      <c r="W1221" s="289"/>
    </row>
    <row r="1222" spans="1:23" s="290" customFormat="1" x14ac:dyDescent="0.2">
      <c r="A1222" s="286"/>
      <c r="B1222" s="287"/>
      <c r="C1222" s="288"/>
      <c r="D1222" s="87"/>
      <c r="E1222" s="87"/>
      <c r="F1222" s="87"/>
      <c r="G1222" s="87"/>
      <c r="H1222" s="289"/>
      <c r="I1222" s="289"/>
      <c r="J1222" s="87"/>
      <c r="K1222" s="87"/>
      <c r="L1222" s="87"/>
      <c r="M1222" s="289"/>
      <c r="N1222" s="87"/>
      <c r="O1222" s="87"/>
      <c r="P1222" s="87"/>
      <c r="Q1222" s="87"/>
      <c r="R1222" s="289"/>
      <c r="S1222" s="87"/>
      <c r="T1222" s="87"/>
      <c r="U1222" s="87"/>
      <c r="V1222" s="87"/>
      <c r="W1222" s="289"/>
    </row>
    <row r="1223" spans="1:23" s="290" customFormat="1" x14ac:dyDescent="0.2">
      <c r="A1223" s="286"/>
      <c r="B1223" s="287"/>
      <c r="C1223" s="288"/>
      <c r="D1223" s="87"/>
      <c r="E1223" s="87"/>
      <c r="F1223" s="87"/>
      <c r="G1223" s="87"/>
      <c r="H1223" s="289"/>
      <c r="I1223" s="289"/>
      <c r="J1223" s="87"/>
      <c r="K1223" s="87"/>
      <c r="L1223" s="87"/>
      <c r="M1223" s="289"/>
      <c r="N1223" s="87"/>
      <c r="O1223" s="87"/>
      <c r="P1223" s="87"/>
      <c r="Q1223" s="87"/>
      <c r="R1223" s="289"/>
      <c r="S1223" s="87"/>
      <c r="T1223" s="87"/>
      <c r="U1223" s="87"/>
      <c r="V1223" s="87"/>
      <c r="W1223" s="289"/>
    </row>
    <row r="1224" spans="1:23" s="290" customFormat="1" x14ac:dyDescent="0.2">
      <c r="A1224" s="286"/>
      <c r="B1224" s="287"/>
      <c r="C1224" s="288"/>
      <c r="D1224" s="87"/>
      <c r="E1224" s="87"/>
      <c r="F1224" s="87"/>
      <c r="G1224" s="87"/>
      <c r="H1224" s="289"/>
      <c r="I1224" s="289"/>
      <c r="J1224" s="87"/>
      <c r="K1224" s="87"/>
      <c r="L1224" s="87"/>
      <c r="M1224" s="289"/>
      <c r="N1224" s="87"/>
      <c r="O1224" s="87"/>
      <c r="P1224" s="87"/>
      <c r="Q1224" s="87"/>
      <c r="R1224" s="289"/>
      <c r="S1224" s="87"/>
      <c r="T1224" s="87"/>
      <c r="U1224" s="87"/>
      <c r="V1224" s="87"/>
      <c r="W1224" s="289"/>
    </row>
    <row r="1225" spans="1:23" s="290" customFormat="1" x14ac:dyDescent="0.2">
      <c r="A1225" s="286"/>
      <c r="B1225" s="287"/>
      <c r="C1225" s="288"/>
      <c r="D1225" s="87"/>
      <c r="E1225" s="87"/>
      <c r="F1225" s="87"/>
      <c r="G1225" s="87"/>
      <c r="H1225" s="289"/>
      <c r="I1225" s="289"/>
      <c r="J1225" s="87"/>
      <c r="K1225" s="87"/>
      <c r="L1225" s="87"/>
      <c r="M1225" s="289"/>
      <c r="N1225" s="87"/>
      <c r="O1225" s="87"/>
      <c r="P1225" s="87"/>
      <c r="Q1225" s="87"/>
      <c r="R1225" s="289"/>
      <c r="S1225" s="87"/>
      <c r="T1225" s="87"/>
      <c r="U1225" s="87"/>
      <c r="V1225" s="87"/>
      <c r="W1225" s="289"/>
    </row>
    <row r="1226" spans="1:23" s="290" customFormat="1" x14ac:dyDescent="0.2">
      <c r="A1226" s="286"/>
      <c r="B1226" s="287"/>
      <c r="C1226" s="288"/>
      <c r="D1226" s="87"/>
      <c r="E1226" s="87"/>
      <c r="F1226" s="87"/>
      <c r="G1226" s="87"/>
      <c r="H1226" s="289"/>
      <c r="I1226" s="289"/>
      <c r="J1226" s="87"/>
      <c r="K1226" s="87"/>
      <c r="L1226" s="87"/>
      <c r="M1226" s="289"/>
      <c r="N1226" s="87"/>
      <c r="O1226" s="87"/>
      <c r="P1226" s="87"/>
      <c r="Q1226" s="87"/>
      <c r="R1226" s="289"/>
      <c r="S1226" s="87"/>
      <c r="T1226" s="87"/>
      <c r="U1226" s="87"/>
      <c r="V1226" s="87"/>
      <c r="W1226" s="289"/>
    </row>
    <row r="1227" spans="1:23" s="290" customFormat="1" x14ac:dyDescent="0.2">
      <c r="A1227" s="286"/>
      <c r="B1227" s="287"/>
      <c r="C1227" s="288"/>
      <c r="D1227" s="87"/>
      <c r="E1227" s="87"/>
      <c r="F1227" s="87"/>
      <c r="G1227" s="87"/>
      <c r="H1227" s="289"/>
      <c r="I1227" s="289"/>
      <c r="J1227" s="87"/>
      <c r="K1227" s="87"/>
      <c r="L1227" s="87"/>
      <c r="M1227" s="289"/>
      <c r="N1227" s="87"/>
      <c r="O1227" s="87"/>
      <c r="P1227" s="87"/>
      <c r="Q1227" s="87"/>
      <c r="R1227" s="289"/>
      <c r="S1227" s="87"/>
      <c r="T1227" s="87"/>
      <c r="U1227" s="87"/>
      <c r="V1227" s="87"/>
      <c r="W1227" s="289"/>
    </row>
    <row r="1228" spans="1:23" s="290" customFormat="1" x14ac:dyDescent="0.2">
      <c r="A1228" s="286"/>
      <c r="B1228" s="287"/>
      <c r="C1228" s="288"/>
      <c r="D1228" s="87"/>
      <c r="E1228" s="87"/>
      <c r="F1228" s="87"/>
      <c r="G1228" s="87"/>
      <c r="H1228" s="289"/>
      <c r="I1228" s="289"/>
      <c r="J1228" s="87"/>
      <c r="K1228" s="87"/>
      <c r="L1228" s="87"/>
      <c r="M1228" s="289"/>
      <c r="N1228" s="87"/>
      <c r="O1228" s="87"/>
      <c r="P1228" s="87"/>
      <c r="Q1228" s="87"/>
      <c r="R1228" s="289"/>
      <c r="S1228" s="87"/>
      <c r="T1228" s="87"/>
      <c r="U1228" s="87"/>
      <c r="V1228" s="87"/>
      <c r="W1228" s="289"/>
    </row>
    <row r="1229" spans="1:23" s="290" customFormat="1" x14ac:dyDescent="0.2">
      <c r="A1229" s="286"/>
      <c r="B1229" s="287"/>
      <c r="C1229" s="288"/>
      <c r="D1229" s="87"/>
      <c r="E1229" s="87"/>
      <c r="F1229" s="87"/>
      <c r="G1229" s="87"/>
      <c r="H1229" s="289"/>
      <c r="I1229" s="289"/>
      <c r="J1229" s="87"/>
      <c r="K1229" s="87"/>
      <c r="L1229" s="87"/>
      <c r="M1229" s="289"/>
      <c r="N1229" s="87"/>
      <c r="O1229" s="87"/>
      <c r="P1229" s="87"/>
      <c r="Q1229" s="87"/>
      <c r="R1229" s="289"/>
      <c r="S1229" s="87"/>
      <c r="T1229" s="87"/>
      <c r="U1229" s="87"/>
      <c r="V1229" s="87"/>
      <c r="W1229" s="289"/>
    </row>
    <row r="1230" spans="1:23" s="290" customFormat="1" x14ac:dyDescent="0.2">
      <c r="A1230" s="286"/>
      <c r="B1230" s="287"/>
      <c r="C1230" s="288"/>
      <c r="D1230" s="87"/>
      <c r="E1230" s="87"/>
      <c r="F1230" s="87"/>
      <c r="G1230" s="87"/>
      <c r="H1230" s="289"/>
      <c r="I1230" s="289"/>
      <c r="J1230" s="87"/>
      <c r="K1230" s="87"/>
      <c r="L1230" s="87"/>
      <c r="M1230" s="289"/>
      <c r="N1230" s="87"/>
      <c r="O1230" s="87"/>
      <c r="P1230" s="87"/>
      <c r="Q1230" s="87"/>
      <c r="R1230" s="289"/>
      <c r="S1230" s="87"/>
      <c r="T1230" s="87"/>
      <c r="U1230" s="87"/>
      <c r="V1230" s="87"/>
      <c r="W1230" s="289"/>
    </row>
    <row r="1231" spans="1:23" s="290" customFormat="1" x14ac:dyDescent="0.2">
      <c r="A1231" s="286"/>
      <c r="B1231" s="287"/>
      <c r="C1231" s="288"/>
      <c r="D1231" s="87"/>
      <c r="E1231" s="87"/>
      <c r="F1231" s="87"/>
      <c r="G1231" s="87"/>
      <c r="H1231" s="289"/>
      <c r="I1231" s="289"/>
      <c r="J1231" s="87"/>
      <c r="K1231" s="87"/>
      <c r="L1231" s="87"/>
      <c r="M1231" s="289"/>
      <c r="N1231" s="87"/>
      <c r="O1231" s="87"/>
      <c r="P1231" s="87"/>
      <c r="Q1231" s="87"/>
      <c r="R1231" s="289"/>
      <c r="S1231" s="87"/>
      <c r="T1231" s="87"/>
      <c r="U1231" s="87"/>
      <c r="V1231" s="87"/>
      <c r="W1231" s="289"/>
    </row>
    <row r="1232" spans="1:23" s="290" customFormat="1" x14ac:dyDescent="0.2">
      <c r="A1232" s="286"/>
      <c r="B1232" s="287"/>
      <c r="C1232" s="288"/>
      <c r="D1232" s="87"/>
      <c r="E1232" s="87"/>
      <c r="F1232" s="87"/>
      <c r="G1232" s="87"/>
      <c r="H1232" s="289"/>
      <c r="I1232" s="289"/>
      <c r="J1232" s="87"/>
      <c r="K1232" s="87"/>
      <c r="L1232" s="87"/>
      <c r="M1232" s="289"/>
      <c r="N1232" s="87"/>
      <c r="O1232" s="87"/>
      <c r="P1232" s="87"/>
      <c r="Q1232" s="87"/>
      <c r="R1232" s="289"/>
      <c r="S1232" s="87"/>
      <c r="T1232" s="87"/>
      <c r="U1232" s="87"/>
      <c r="V1232" s="87"/>
      <c r="W1232" s="289"/>
    </row>
    <row r="1233" spans="1:23" s="290" customFormat="1" x14ac:dyDescent="0.2">
      <c r="A1233" s="286"/>
      <c r="B1233" s="287"/>
      <c r="C1233" s="288"/>
      <c r="D1233" s="87"/>
      <c r="E1233" s="87"/>
      <c r="F1233" s="87"/>
      <c r="G1233" s="87"/>
      <c r="H1233" s="289"/>
      <c r="I1233" s="289"/>
      <c r="J1233" s="87"/>
      <c r="K1233" s="87"/>
      <c r="L1233" s="87"/>
      <c r="M1233" s="289"/>
      <c r="N1233" s="87"/>
      <c r="O1233" s="87"/>
      <c r="P1233" s="87"/>
      <c r="Q1233" s="87"/>
      <c r="R1233" s="289"/>
      <c r="S1233" s="87"/>
      <c r="T1233" s="87"/>
      <c r="U1233" s="87"/>
      <c r="V1233" s="87"/>
      <c r="W1233" s="289"/>
    </row>
    <row r="1234" spans="1:23" s="290" customFormat="1" x14ac:dyDescent="0.2">
      <c r="A1234" s="286"/>
      <c r="B1234" s="287"/>
      <c r="C1234" s="288"/>
      <c r="D1234" s="87"/>
      <c r="E1234" s="87"/>
      <c r="F1234" s="87"/>
      <c r="G1234" s="87"/>
      <c r="H1234" s="289"/>
      <c r="I1234" s="289"/>
      <c r="J1234" s="87"/>
      <c r="K1234" s="87"/>
      <c r="L1234" s="87"/>
      <c r="M1234" s="289"/>
      <c r="N1234" s="87"/>
      <c r="O1234" s="87"/>
      <c r="P1234" s="87"/>
      <c r="Q1234" s="87"/>
      <c r="R1234" s="289"/>
      <c r="S1234" s="87"/>
      <c r="T1234" s="87"/>
      <c r="U1234" s="87"/>
      <c r="V1234" s="87"/>
      <c r="W1234" s="289"/>
    </row>
    <row r="1235" spans="1:23" s="290" customFormat="1" x14ac:dyDescent="0.2">
      <c r="A1235" s="286"/>
      <c r="B1235" s="287"/>
      <c r="C1235" s="288"/>
      <c r="D1235" s="87"/>
      <c r="E1235" s="87"/>
      <c r="F1235" s="87"/>
      <c r="G1235" s="87"/>
      <c r="H1235" s="289"/>
      <c r="I1235" s="289"/>
      <c r="J1235" s="87"/>
      <c r="K1235" s="87"/>
      <c r="L1235" s="87"/>
      <c r="M1235" s="289"/>
      <c r="N1235" s="87"/>
      <c r="O1235" s="87"/>
      <c r="P1235" s="87"/>
      <c r="Q1235" s="87"/>
      <c r="R1235" s="289"/>
      <c r="S1235" s="87"/>
      <c r="T1235" s="87"/>
      <c r="U1235" s="87"/>
      <c r="V1235" s="87"/>
      <c r="W1235" s="289"/>
    </row>
    <row r="1236" spans="1:23" s="290" customFormat="1" x14ac:dyDescent="0.2">
      <c r="A1236" s="286"/>
      <c r="B1236" s="287"/>
      <c r="C1236" s="288"/>
      <c r="D1236" s="87"/>
      <c r="E1236" s="87"/>
      <c r="F1236" s="87"/>
      <c r="G1236" s="87"/>
      <c r="H1236" s="289"/>
      <c r="I1236" s="289"/>
      <c r="J1236" s="87"/>
      <c r="K1236" s="87"/>
      <c r="L1236" s="87"/>
      <c r="M1236" s="289"/>
      <c r="N1236" s="87"/>
      <c r="O1236" s="87"/>
      <c r="P1236" s="87"/>
      <c r="Q1236" s="87"/>
      <c r="R1236" s="289"/>
      <c r="S1236" s="87"/>
      <c r="T1236" s="87"/>
      <c r="U1236" s="87"/>
      <c r="V1236" s="87"/>
      <c r="W1236" s="289"/>
    </row>
    <row r="1237" spans="1:23" s="290" customFormat="1" x14ac:dyDescent="0.2">
      <c r="A1237" s="286"/>
      <c r="B1237" s="287"/>
      <c r="C1237" s="288"/>
      <c r="D1237" s="87"/>
      <c r="E1237" s="87"/>
      <c r="F1237" s="87"/>
      <c r="G1237" s="87"/>
      <c r="H1237" s="289"/>
      <c r="I1237" s="289"/>
      <c r="J1237" s="87"/>
      <c r="K1237" s="87"/>
      <c r="L1237" s="87"/>
      <c r="M1237" s="289"/>
      <c r="N1237" s="87"/>
      <c r="O1237" s="87"/>
      <c r="P1237" s="87"/>
      <c r="Q1237" s="87"/>
      <c r="R1237" s="289"/>
      <c r="S1237" s="87"/>
      <c r="T1237" s="87"/>
      <c r="U1237" s="87"/>
      <c r="V1237" s="87"/>
      <c r="W1237" s="289"/>
    </row>
    <row r="1238" spans="1:23" s="290" customFormat="1" x14ac:dyDescent="0.2">
      <c r="A1238" s="286"/>
      <c r="B1238" s="287"/>
      <c r="C1238" s="288"/>
      <c r="D1238" s="87"/>
      <c r="E1238" s="87"/>
      <c r="F1238" s="87"/>
      <c r="G1238" s="87"/>
      <c r="H1238" s="289"/>
      <c r="I1238" s="289"/>
      <c r="J1238" s="87"/>
      <c r="K1238" s="87"/>
      <c r="L1238" s="87"/>
      <c r="M1238" s="289"/>
      <c r="N1238" s="87"/>
      <c r="O1238" s="87"/>
      <c r="P1238" s="87"/>
      <c r="Q1238" s="87"/>
      <c r="R1238" s="289"/>
      <c r="S1238" s="87"/>
      <c r="T1238" s="87"/>
      <c r="U1238" s="87"/>
      <c r="V1238" s="87"/>
      <c r="W1238" s="289"/>
    </row>
    <row r="1239" spans="1:23" s="290" customFormat="1" x14ac:dyDescent="0.2">
      <c r="A1239" s="286"/>
      <c r="B1239" s="287"/>
      <c r="C1239" s="288"/>
      <c r="D1239" s="87"/>
      <c r="E1239" s="87"/>
      <c r="F1239" s="87"/>
      <c r="G1239" s="87"/>
      <c r="H1239" s="289"/>
      <c r="I1239" s="289"/>
      <c r="J1239" s="87"/>
      <c r="K1239" s="87"/>
      <c r="L1239" s="87"/>
      <c r="M1239" s="289"/>
      <c r="N1239" s="87"/>
      <c r="O1239" s="87"/>
      <c r="P1239" s="87"/>
      <c r="Q1239" s="87"/>
      <c r="R1239" s="289"/>
      <c r="S1239" s="87"/>
      <c r="T1239" s="87"/>
      <c r="U1239" s="87"/>
      <c r="V1239" s="87"/>
      <c r="W1239" s="289"/>
    </row>
    <row r="1240" spans="1:23" s="290" customFormat="1" x14ac:dyDescent="0.2">
      <c r="A1240" s="286"/>
      <c r="B1240" s="287"/>
      <c r="C1240" s="288"/>
      <c r="D1240" s="87"/>
      <c r="E1240" s="87"/>
      <c r="F1240" s="87"/>
      <c r="G1240" s="87"/>
      <c r="H1240" s="289"/>
      <c r="I1240" s="289"/>
      <c r="J1240" s="87"/>
      <c r="K1240" s="87"/>
      <c r="L1240" s="87"/>
      <c r="M1240" s="289"/>
      <c r="N1240" s="87"/>
      <c r="O1240" s="87"/>
      <c r="P1240" s="87"/>
      <c r="Q1240" s="87"/>
      <c r="R1240" s="289"/>
      <c r="S1240" s="87"/>
      <c r="T1240" s="87"/>
      <c r="U1240" s="87"/>
      <c r="V1240" s="87"/>
      <c r="W1240" s="289"/>
    </row>
    <row r="1241" spans="1:23" s="290" customFormat="1" x14ac:dyDescent="0.2">
      <c r="A1241" s="286"/>
      <c r="B1241" s="287"/>
      <c r="C1241" s="288"/>
      <c r="D1241" s="87"/>
      <c r="E1241" s="87"/>
      <c r="F1241" s="87"/>
      <c r="G1241" s="87"/>
      <c r="H1241" s="289"/>
      <c r="I1241" s="289"/>
      <c r="J1241" s="87"/>
      <c r="K1241" s="87"/>
      <c r="L1241" s="87"/>
      <c r="M1241" s="289"/>
      <c r="N1241" s="87"/>
      <c r="O1241" s="87"/>
      <c r="P1241" s="87"/>
      <c r="Q1241" s="87"/>
      <c r="R1241" s="289"/>
      <c r="S1241" s="87"/>
      <c r="T1241" s="87"/>
      <c r="U1241" s="87"/>
      <c r="V1241" s="87"/>
      <c r="W1241" s="289"/>
    </row>
    <row r="1242" spans="1:23" s="290" customFormat="1" x14ac:dyDescent="0.2">
      <c r="A1242" s="286"/>
      <c r="B1242" s="287"/>
      <c r="C1242" s="288"/>
      <c r="D1242" s="87"/>
      <c r="E1242" s="87"/>
      <c r="F1242" s="87"/>
      <c r="G1242" s="87"/>
      <c r="H1242" s="289"/>
      <c r="I1242" s="289"/>
      <c r="J1242" s="87"/>
      <c r="K1242" s="87"/>
      <c r="L1242" s="87"/>
      <c r="M1242" s="289"/>
      <c r="N1242" s="87"/>
      <c r="O1242" s="87"/>
      <c r="P1242" s="87"/>
      <c r="Q1242" s="87"/>
      <c r="R1242" s="289"/>
      <c r="S1242" s="87"/>
      <c r="T1242" s="87"/>
      <c r="U1242" s="87"/>
      <c r="V1242" s="87"/>
      <c r="W1242" s="289"/>
    </row>
    <row r="1243" spans="1:23" s="290" customFormat="1" x14ac:dyDescent="0.2">
      <c r="A1243" s="286"/>
      <c r="B1243" s="287"/>
      <c r="C1243" s="288"/>
      <c r="D1243" s="87"/>
      <c r="E1243" s="87"/>
      <c r="F1243" s="87"/>
      <c r="G1243" s="87"/>
      <c r="H1243" s="289"/>
      <c r="I1243" s="289"/>
      <c r="J1243" s="87"/>
      <c r="K1243" s="87"/>
      <c r="L1243" s="87"/>
      <c r="M1243" s="289"/>
      <c r="N1243" s="87"/>
      <c r="O1243" s="87"/>
      <c r="P1243" s="87"/>
      <c r="Q1243" s="87"/>
      <c r="R1243" s="289"/>
      <c r="S1243" s="87"/>
      <c r="T1243" s="87"/>
      <c r="U1243" s="87"/>
      <c r="V1243" s="87"/>
      <c r="W1243" s="289"/>
    </row>
    <row r="1244" spans="1:23" s="290" customFormat="1" x14ac:dyDescent="0.2">
      <c r="A1244" s="286"/>
      <c r="B1244" s="287"/>
      <c r="C1244" s="288"/>
      <c r="D1244" s="87"/>
      <c r="E1244" s="87"/>
      <c r="F1244" s="87"/>
      <c r="G1244" s="87"/>
      <c r="H1244" s="289"/>
      <c r="I1244" s="289"/>
      <c r="J1244" s="87"/>
      <c r="K1244" s="87"/>
      <c r="L1244" s="87"/>
      <c r="M1244" s="289"/>
      <c r="N1244" s="87"/>
      <c r="O1244" s="87"/>
      <c r="P1244" s="87"/>
      <c r="Q1244" s="87"/>
      <c r="R1244" s="289"/>
      <c r="S1244" s="87"/>
      <c r="T1244" s="87"/>
      <c r="U1244" s="87"/>
      <c r="V1244" s="87"/>
      <c r="W1244" s="289"/>
    </row>
    <row r="1245" spans="1:23" s="290" customFormat="1" x14ac:dyDescent="0.2">
      <c r="A1245" s="286"/>
      <c r="B1245" s="287"/>
      <c r="C1245" s="288"/>
      <c r="D1245" s="87"/>
      <c r="E1245" s="87"/>
      <c r="F1245" s="87"/>
      <c r="G1245" s="87"/>
      <c r="H1245" s="289"/>
      <c r="I1245" s="289"/>
      <c r="J1245" s="87"/>
      <c r="K1245" s="87"/>
      <c r="L1245" s="87"/>
      <c r="M1245" s="289"/>
      <c r="N1245" s="87"/>
      <c r="O1245" s="87"/>
      <c r="P1245" s="87"/>
      <c r="Q1245" s="87"/>
      <c r="R1245" s="289"/>
      <c r="S1245" s="87"/>
      <c r="T1245" s="87"/>
      <c r="U1245" s="87"/>
      <c r="V1245" s="87"/>
      <c r="W1245" s="289"/>
    </row>
    <row r="1246" spans="1:23" s="290" customFormat="1" x14ac:dyDescent="0.2">
      <c r="A1246" s="286"/>
      <c r="B1246" s="287"/>
      <c r="C1246" s="288"/>
      <c r="D1246" s="87"/>
      <c r="E1246" s="87"/>
      <c r="F1246" s="87"/>
      <c r="G1246" s="87"/>
      <c r="H1246" s="289"/>
      <c r="I1246" s="289"/>
      <c r="J1246" s="87"/>
      <c r="K1246" s="87"/>
      <c r="L1246" s="87"/>
      <c r="M1246" s="289"/>
      <c r="N1246" s="87"/>
      <c r="O1246" s="87"/>
      <c r="P1246" s="87"/>
      <c r="Q1246" s="87"/>
      <c r="R1246" s="289"/>
      <c r="S1246" s="87"/>
      <c r="T1246" s="87"/>
      <c r="U1246" s="87"/>
      <c r="V1246" s="87"/>
      <c r="W1246" s="289"/>
    </row>
    <row r="1247" spans="1:23" s="290" customFormat="1" x14ac:dyDescent="0.2">
      <c r="A1247" s="286"/>
      <c r="B1247" s="287"/>
      <c r="C1247" s="288"/>
      <c r="D1247" s="87"/>
      <c r="E1247" s="87"/>
      <c r="F1247" s="87"/>
      <c r="G1247" s="87"/>
      <c r="H1247" s="289"/>
      <c r="I1247" s="289"/>
      <c r="J1247" s="87"/>
      <c r="K1247" s="87"/>
      <c r="L1247" s="87"/>
      <c r="M1247" s="289"/>
      <c r="N1247" s="87"/>
      <c r="O1247" s="87"/>
      <c r="P1247" s="87"/>
      <c r="Q1247" s="87"/>
      <c r="R1247" s="289"/>
      <c r="S1247" s="87"/>
      <c r="T1247" s="87"/>
      <c r="U1247" s="87"/>
      <c r="V1247" s="87"/>
      <c r="W1247" s="289"/>
    </row>
    <row r="1248" spans="1:23" s="290" customFormat="1" x14ac:dyDescent="0.2">
      <c r="A1248" s="286"/>
      <c r="B1248" s="287"/>
      <c r="C1248" s="288"/>
      <c r="D1248" s="87"/>
      <c r="E1248" s="87"/>
      <c r="F1248" s="87"/>
      <c r="G1248" s="87"/>
      <c r="H1248" s="289"/>
      <c r="I1248" s="289"/>
      <c r="J1248" s="87"/>
      <c r="K1248" s="87"/>
      <c r="L1248" s="87"/>
      <c r="M1248" s="289"/>
      <c r="N1248" s="87"/>
      <c r="O1248" s="87"/>
      <c r="P1248" s="87"/>
      <c r="Q1248" s="87"/>
      <c r="R1248" s="289"/>
      <c r="S1248" s="87"/>
      <c r="T1248" s="87"/>
      <c r="U1248" s="87"/>
      <c r="V1248" s="87"/>
      <c r="W1248" s="289"/>
    </row>
    <row r="1249" spans="1:23" s="290" customFormat="1" x14ac:dyDescent="0.2">
      <c r="A1249" s="286"/>
      <c r="B1249" s="287"/>
      <c r="C1249" s="288"/>
      <c r="D1249" s="87"/>
      <c r="E1249" s="87"/>
      <c r="F1249" s="87"/>
      <c r="G1249" s="87"/>
      <c r="H1249" s="289"/>
      <c r="I1249" s="289"/>
      <c r="J1249" s="87"/>
      <c r="K1249" s="87"/>
      <c r="L1249" s="87"/>
      <c r="M1249" s="289"/>
      <c r="N1249" s="87"/>
      <c r="O1249" s="87"/>
      <c r="P1249" s="87"/>
      <c r="Q1249" s="87"/>
      <c r="R1249" s="289"/>
      <c r="S1249" s="87"/>
      <c r="T1249" s="87"/>
      <c r="U1249" s="87"/>
      <c r="V1249" s="87"/>
      <c r="W1249" s="289"/>
    </row>
    <row r="1250" spans="1:23" s="290" customFormat="1" x14ac:dyDescent="0.2">
      <c r="A1250" s="286"/>
      <c r="B1250" s="287"/>
      <c r="C1250" s="288"/>
      <c r="D1250" s="87"/>
      <c r="E1250" s="87"/>
      <c r="F1250" s="87"/>
      <c r="G1250" s="87"/>
      <c r="H1250" s="289"/>
      <c r="I1250" s="289"/>
      <c r="J1250" s="87"/>
      <c r="K1250" s="87"/>
      <c r="L1250" s="87"/>
      <c r="M1250" s="289"/>
      <c r="N1250" s="87"/>
      <c r="O1250" s="87"/>
      <c r="P1250" s="87"/>
      <c r="Q1250" s="87"/>
      <c r="R1250" s="289"/>
      <c r="S1250" s="87"/>
      <c r="T1250" s="87"/>
      <c r="U1250" s="87"/>
      <c r="V1250" s="87"/>
      <c r="W1250" s="289"/>
    </row>
    <row r="1251" spans="1:23" s="290" customFormat="1" x14ac:dyDescent="0.2">
      <c r="A1251" s="286"/>
      <c r="B1251" s="287"/>
      <c r="C1251" s="288"/>
      <c r="D1251" s="87"/>
      <c r="E1251" s="87"/>
      <c r="F1251" s="87"/>
      <c r="G1251" s="87"/>
      <c r="H1251" s="289"/>
      <c r="I1251" s="289"/>
      <c r="J1251" s="87"/>
      <c r="K1251" s="87"/>
      <c r="L1251" s="87"/>
      <c r="M1251" s="289"/>
      <c r="N1251" s="87"/>
      <c r="O1251" s="87"/>
      <c r="P1251" s="87"/>
      <c r="Q1251" s="87"/>
      <c r="R1251" s="289"/>
      <c r="S1251" s="87"/>
      <c r="T1251" s="87"/>
      <c r="U1251" s="87"/>
      <c r="V1251" s="87"/>
      <c r="W1251" s="289"/>
    </row>
    <row r="1252" spans="1:23" s="290" customFormat="1" x14ac:dyDescent="0.2">
      <c r="A1252" s="286"/>
      <c r="B1252" s="287"/>
      <c r="C1252" s="288"/>
      <c r="D1252" s="87"/>
      <c r="E1252" s="87"/>
      <c r="F1252" s="87"/>
      <c r="G1252" s="87"/>
      <c r="H1252" s="289"/>
      <c r="I1252" s="289"/>
      <c r="J1252" s="87"/>
      <c r="K1252" s="87"/>
      <c r="L1252" s="87"/>
      <c r="M1252" s="289"/>
      <c r="N1252" s="87"/>
      <c r="O1252" s="87"/>
      <c r="P1252" s="87"/>
      <c r="Q1252" s="87"/>
      <c r="R1252" s="289"/>
      <c r="S1252" s="87"/>
      <c r="T1252" s="87"/>
      <c r="U1252" s="87"/>
      <c r="V1252" s="87"/>
      <c r="W1252" s="289"/>
    </row>
    <row r="1253" spans="1:23" s="290" customFormat="1" x14ac:dyDescent="0.2">
      <c r="A1253" s="286"/>
      <c r="B1253" s="287"/>
      <c r="C1253" s="288"/>
      <c r="D1253" s="87"/>
      <c r="E1253" s="87"/>
      <c r="F1253" s="87"/>
      <c r="G1253" s="87"/>
      <c r="H1253" s="289"/>
      <c r="I1253" s="289"/>
      <c r="J1253" s="87"/>
      <c r="K1253" s="87"/>
      <c r="L1253" s="87"/>
      <c r="M1253" s="289"/>
      <c r="N1253" s="87"/>
      <c r="O1253" s="87"/>
      <c r="P1253" s="87"/>
      <c r="Q1253" s="87"/>
      <c r="R1253" s="289"/>
      <c r="S1253" s="87"/>
      <c r="T1253" s="87"/>
      <c r="U1253" s="87"/>
      <c r="V1253" s="87"/>
      <c r="W1253" s="289"/>
    </row>
    <row r="1254" spans="1:23" s="290" customFormat="1" x14ac:dyDescent="0.2">
      <c r="A1254" s="286"/>
      <c r="B1254" s="287"/>
      <c r="C1254" s="288"/>
      <c r="D1254" s="87"/>
      <c r="E1254" s="87"/>
      <c r="F1254" s="87"/>
      <c r="G1254" s="87"/>
      <c r="H1254" s="289"/>
      <c r="I1254" s="289"/>
      <c r="J1254" s="87"/>
      <c r="K1254" s="87"/>
      <c r="L1254" s="87"/>
      <c r="M1254" s="289"/>
      <c r="N1254" s="87"/>
      <c r="O1254" s="87"/>
      <c r="P1254" s="87"/>
      <c r="Q1254" s="87"/>
      <c r="R1254" s="289"/>
      <c r="S1254" s="87"/>
      <c r="T1254" s="87"/>
      <c r="U1254" s="87"/>
      <c r="V1254" s="87"/>
      <c r="W1254" s="289"/>
    </row>
    <row r="1255" spans="1:23" s="290" customFormat="1" x14ac:dyDescent="0.2">
      <c r="A1255" s="286"/>
      <c r="B1255" s="287"/>
      <c r="C1255" s="288"/>
      <c r="D1255" s="87"/>
      <c r="E1255" s="87"/>
      <c r="F1255" s="87"/>
      <c r="G1255" s="87"/>
      <c r="H1255" s="289"/>
      <c r="I1255" s="289"/>
      <c r="J1255" s="87"/>
      <c r="K1255" s="87"/>
      <c r="L1255" s="87"/>
      <c r="M1255" s="289"/>
      <c r="N1255" s="87"/>
      <c r="O1255" s="87"/>
      <c r="P1255" s="87"/>
      <c r="Q1255" s="87"/>
      <c r="R1255" s="289"/>
      <c r="S1255" s="87"/>
      <c r="T1255" s="87"/>
      <c r="U1255" s="87"/>
      <c r="V1255" s="87"/>
      <c r="W1255" s="289"/>
    </row>
    <row r="1256" spans="1:23" s="290" customFormat="1" x14ac:dyDescent="0.2">
      <c r="A1256" s="286"/>
      <c r="B1256" s="287"/>
      <c r="C1256" s="288"/>
      <c r="D1256" s="87"/>
      <c r="E1256" s="87"/>
      <c r="F1256" s="87"/>
      <c r="G1256" s="87"/>
      <c r="H1256" s="289"/>
      <c r="I1256" s="289"/>
      <c r="J1256" s="87"/>
      <c r="K1256" s="87"/>
      <c r="L1256" s="87"/>
      <c r="M1256" s="289"/>
      <c r="N1256" s="87"/>
      <c r="O1256" s="87"/>
      <c r="P1256" s="87"/>
      <c r="Q1256" s="87"/>
      <c r="R1256" s="289"/>
      <c r="S1256" s="87"/>
      <c r="T1256" s="87"/>
      <c r="U1256" s="87"/>
      <c r="V1256" s="87"/>
      <c r="W1256" s="289"/>
    </row>
    <row r="1257" spans="1:23" s="290" customFormat="1" x14ac:dyDescent="0.2">
      <c r="A1257" s="286"/>
      <c r="B1257" s="287"/>
      <c r="C1257" s="288"/>
      <c r="D1257" s="87"/>
      <c r="E1257" s="87"/>
      <c r="F1257" s="87"/>
      <c r="G1257" s="87"/>
      <c r="H1257" s="289"/>
      <c r="I1257" s="289"/>
      <c r="J1257" s="87"/>
      <c r="K1257" s="87"/>
      <c r="L1257" s="87"/>
      <c r="M1257" s="289"/>
      <c r="N1257" s="87"/>
      <c r="O1257" s="87"/>
      <c r="P1257" s="87"/>
      <c r="Q1257" s="87"/>
      <c r="R1257" s="289"/>
      <c r="S1257" s="87"/>
      <c r="T1257" s="87"/>
      <c r="U1257" s="87"/>
      <c r="V1257" s="87"/>
      <c r="W1257" s="289"/>
    </row>
    <row r="1258" spans="1:23" s="290" customFormat="1" x14ac:dyDescent="0.2">
      <c r="A1258" s="286"/>
      <c r="B1258" s="287"/>
      <c r="C1258" s="288"/>
      <c r="D1258" s="87"/>
      <c r="E1258" s="87"/>
      <c r="F1258" s="87"/>
      <c r="G1258" s="87"/>
      <c r="H1258" s="289"/>
      <c r="I1258" s="289"/>
      <c r="J1258" s="87"/>
      <c r="K1258" s="87"/>
      <c r="L1258" s="87"/>
      <c r="M1258" s="289"/>
      <c r="N1258" s="87"/>
      <c r="O1258" s="87"/>
      <c r="P1258" s="87"/>
      <c r="Q1258" s="87"/>
      <c r="R1258" s="289"/>
      <c r="S1258" s="87"/>
      <c r="T1258" s="87"/>
      <c r="U1258" s="87"/>
      <c r="V1258" s="87"/>
      <c r="W1258" s="289"/>
    </row>
    <row r="1259" spans="1:23" s="290" customFormat="1" x14ac:dyDescent="0.2">
      <c r="A1259" s="286"/>
      <c r="B1259" s="287"/>
      <c r="C1259" s="288"/>
      <c r="D1259" s="87"/>
      <c r="E1259" s="87"/>
      <c r="F1259" s="87"/>
      <c r="G1259" s="87"/>
      <c r="H1259" s="289"/>
      <c r="I1259" s="289"/>
      <c r="J1259" s="87"/>
      <c r="K1259" s="87"/>
      <c r="L1259" s="87"/>
      <c r="M1259" s="289"/>
      <c r="N1259" s="87"/>
      <c r="O1259" s="87"/>
      <c r="P1259" s="87"/>
      <c r="Q1259" s="87"/>
      <c r="R1259" s="289"/>
      <c r="S1259" s="87"/>
      <c r="T1259" s="87"/>
      <c r="U1259" s="87"/>
      <c r="V1259" s="87"/>
      <c r="W1259" s="289"/>
    </row>
    <row r="1260" spans="1:23" s="290" customFormat="1" x14ac:dyDescent="0.2">
      <c r="A1260" s="286"/>
      <c r="B1260" s="287"/>
      <c r="C1260" s="288"/>
      <c r="D1260" s="87"/>
      <c r="E1260" s="87"/>
      <c r="F1260" s="87"/>
      <c r="G1260" s="87"/>
      <c r="H1260" s="289"/>
      <c r="I1260" s="289"/>
      <c r="J1260" s="87"/>
      <c r="K1260" s="87"/>
      <c r="L1260" s="87"/>
      <c r="M1260" s="289"/>
      <c r="N1260" s="87"/>
      <c r="O1260" s="87"/>
      <c r="P1260" s="87"/>
      <c r="Q1260" s="87"/>
      <c r="R1260" s="289"/>
      <c r="S1260" s="87"/>
      <c r="T1260" s="87"/>
      <c r="U1260" s="87"/>
      <c r="V1260" s="87"/>
      <c r="W1260" s="289"/>
    </row>
    <row r="1261" spans="1:23" s="290" customFormat="1" x14ac:dyDescent="0.2">
      <c r="A1261" s="286"/>
      <c r="B1261" s="287"/>
      <c r="C1261" s="288"/>
      <c r="D1261" s="87"/>
      <c r="E1261" s="87"/>
      <c r="F1261" s="87"/>
      <c r="G1261" s="87"/>
      <c r="H1261" s="289"/>
      <c r="I1261" s="289"/>
      <c r="J1261" s="87"/>
      <c r="K1261" s="87"/>
      <c r="L1261" s="87"/>
      <c r="M1261" s="289"/>
      <c r="N1261" s="87"/>
      <c r="O1261" s="87"/>
      <c r="P1261" s="87"/>
      <c r="Q1261" s="87"/>
      <c r="R1261" s="289"/>
      <c r="S1261" s="87"/>
      <c r="T1261" s="87"/>
      <c r="U1261" s="87"/>
      <c r="V1261" s="87"/>
      <c r="W1261" s="289"/>
    </row>
    <row r="1262" spans="1:23" s="290" customFormat="1" x14ac:dyDescent="0.2">
      <c r="A1262" s="286"/>
      <c r="B1262" s="287"/>
      <c r="C1262" s="288"/>
      <c r="D1262" s="87"/>
      <c r="E1262" s="87"/>
      <c r="F1262" s="87"/>
      <c r="G1262" s="87"/>
      <c r="H1262" s="289"/>
      <c r="I1262" s="289"/>
      <c r="J1262" s="87"/>
      <c r="K1262" s="87"/>
      <c r="L1262" s="87"/>
      <c r="M1262" s="289"/>
      <c r="N1262" s="87"/>
      <c r="O1262" s="87"/>
      <c r="P1262" s="87"/>
      <c r="Q1262" s="87"/>
      <c r="R1262" s="289"/>
      <c r="S1262" s="87"/>
      <c r="T1262" s="87"/>
      <c r="U1262" s="87"/>
      <c r="V1262" s="87"/>
      <c r="W1262" s="289"/>
    </row>
    <row r="1263" spans="1:23" s="290" customFormat="1" x14ac:dyDescent="0.2">
      <c r="A1263" s="286"/>
      <c r="B1263" s="287"/>
      <c r="C1263" s="288"/>
      <c r="D1263" s="87"/>
      <c r="E1263" s="87"/>
      <c r="F1263" s="87"/>
      <c r="G1263" s="87"/>
      <c r="H1263" s="289"/>
      <c r="I1263" s="289"/>
      <c r="J1263" s="87"/>
      <c r="K1263" s="87"/>
      <c r="L1263" s="87"/>
      <c r="M1263" s="289"/>
      <c r="N1263" s="87"/>
      <c r="O1263" s="87"/>
      <c r="P1263" s="87"/>
      <c r="Q1263" s="87"/>
      <c r="R1263" s="289"/>
      <c r="S1263" s="87"/>
      <c r="T1263" s="87"/>
      <c r="U1263" s="87"/>
      <c r="V1263" s="87"/>
      <c r="W1263" s="289"/>
    </row>
    <row r="1264" spans="1:23" s="290" customFormat="1" x14ac:dyDescent="0.2">
      <c r="A1264" s="286"/>
      <c r="B1264" s="287"/>
      <c r="C1264" s="288"/>
      <c r="D1264" s="87"/>
      <c r="E1264" s="87"/>
      <c r="F1264" s="87"/>
      <c r="G1264" s="87"/>
      <c r="H1264" s="289"/>
      <c r="I1264" s="289"/>
      <c r="J1264" s="87"/>
      <c r="K1264" s="87"/>
      <c r="L1264" s="87"/>
      <c r="M1264" s="289"/>
      <c r="N1264" s="87"/>
      <c r="O1264" s="87"/>
      <c r="P1264" s="87"/>
      <c r="Q1264" s="87"/>
      <c r="R1264" s="289"/>
      <c r="S1264" s="87"/>
      <c r="T1264" s="87"/>
      <c r="U1264" s="87"/>
      <c r="V1264" s="87"/>
      <c r="W1264" s="289"/>
    </row>
    <row r="1265" spans="1:23" s="290" customFormat="1" x14ac:dyDescent="0.2">
      <c r="A1265" s="286"/>
      <c r="B1265" s="287"/>
      <c r="C1265" s="288"/>
      <c r="D1265" s="87"/>
      <c r="E1265" s="87"/>
      <c r="F1265" s="87"/>
      <c r="G1265" s="87"/>
      <c r="H1265" s="289"/>
      <c r="I1265" s="289"/>
      <c r="J1265" s="87"/>
      <c r="K1265" s="87"/>
      <c r="L1265" s="87"/>
      <c r="M1265" s="289"/>
      <c r="N1265" s="87"/>
      <c r="O1265" s="87"/>
      <c r="P1265" s="87"/>
      <c r="Q1265" s="87"/>
      <c r="R1265" s="289"/>
      <c r="S1265" s="87"/>
      <c r="T1265" s="87"/>
      <c r="U1265" s="87"/>
      <c r="V1265" s="87"/>
      <c r="W1265" s="289"/>
    </row>
    <row r="1266" spans="1:23" s="290" customFormat="1" x14ac:dyDescent="0.2">
      <c r="A1266" s="286"/>
      <c r="B1266" s="287"/>
      <c r="C1266" s="288"/>
      <c r="D1266" s="87"/>
      <c r="E1266" s="87"/>
      <c r="F1266" s="87"/>
      <c r="G1266" s="87"/>
      <c r="H1266" s="289"/>
      <c r="I1266" s="289"/>
      <c r="J1266" s="87"/>
      <c r="K1266" s="87"/>
      <c r="L1266" s="87"/>
      <c r="M1266" s="289"/>
      <c r="N1266" s="87"/>
      <c r="O1266" s="87"/>
      <c r="P1266" s="87"/>
      <c r="Q1266" s="87"/>
      <c r="R1266" s="289"/>
      <c r="S1266" s="87"/>
      <c r="T1266" s="87"/>
      <c r="U1266" s="87"/>
      <c r="V1266" s="87"/>
      <c r="W1266" s="289"/>
    </row>
    <row r="1267" spans="1:23" s="290" customFormat="1" x14ac:dyDescent="0.2">
      <c r="A1267" s="286"/>
      <c r="B1267" s="287"/>
      <c r="C1267" s="288"/>
      <c r="D1267" s="87"/>
      <c r="E1267" s="87"/>
      <c r="F1267" s="87"/>
      <c r="G1267" s="87"/>
      <c r="H1267" s="289"/>
      <c r="I1267" s="289"/>
      <c r="J1267" s="87"/>
      <c r="K1267" s="87"/>
      <c r="L1267" s="87"/>
      <c r="M1267" s="289"/>
      <c r="N1267" s="87"/>
      <c r="O1267" s="87"/>
      <c r="P1267" s="87"/>
      <c r="Q1267" s="87"/>
      <c r="R1267" s="289"/>
      <c r="S1267" s="87"/>
      <c r="T1267" s="87"/>
      <c r="U1267" s="87"/>
      <c r="V1267" s="87"/>
      <c r="W1267" s="289"/>
    </row>
    <row r="1268" spans="1:23" s="290" customFormat="1" x14ac:dyDescent="0.2">
      <c r="A1268" s="286"/>
      <c r="B1268" s="287"/>
      <c r="C1268" s="288"/>
      <c r="D1268" s="87"/>
      <c r="E1268" s="87"/>
      <c r="F1268" s="87"/>
      <c r="G1268" s="87"/>
      <c r="H1268" s="289"/>
      <c r="I1268" s="289"/>
      <c r="J1268" s="87"/>
      <c r="K1268" s="87"/>
      <c r="L1268" s="87"/>
      <c r="M1268" s="289"/>
      <c r="N1268" s="87"/>
      <c r="O1268" s="87"/>
      <c r="P1268" s="87"/>
      <c r="Q1268" s="87"/>
      <c r="R1268" s="289"/>
      <c r="S1268" s="87"/>
      <c r="T1268" s="87"/>
      <c r="U1268" s="87"/>
      <c r="V1268" s="87"/>
      <c r="W1268" s="289"/>
    </row>
    <row r="1269" spans="1:23" s="290" customFormat="1" x14ac:dyDescent="0.2">
      <c r="A1269" s="286"/>
      <c r="B1269" s="287"/>
      <c r="C1269" s="288"/>
      <c r="D1269" s="87"/>
      <c r="E1269" s="87"/>
      <c r="F1269" s="87"/>
      <c r="G1269" s="87"/>
      <c r="H1269" s="289"/>
      <c r="I1269" s="289"/>
      <c r="J1269" s="87"/>
      <c r="K1269" s="87"/>
      <c r="L1269" s="87"/>
      <c r="M1269" s="289"/>
      <c r="N1269" s="87"/>
      <c r="O1269" s="87"/>
      <c r="P1269" s="87"/>
      <c r="Q1269" s="87"/>
      <c r="R1269" s="289"/>
      <c r="S1269" s="87"/>
      <c r="T1269" s="87"/>
      <c r="U1269" s="87"/>
      <c r="V1269" s="87"/>
      <c r="W1269" s="289"/>
    </row>
    <row r="1270" spans="1:23" s="290" customFormat="1" x14ac:dyDescent="0.2">
      <c r="A1270" s="286"/>
      <c r="B1270" s="287"/>
      <c r="C1270" s="288"/>
      <c r="D1270" s="87"/>
      <c r="E1270" s="87"/>
      <c r="F1270" s="87"/>
      <c r="G1270" s="87"/>
      <c r="H1270" s="289"/>
      <c r="I1270" s="289"/>
      <c r="J1270" s="87"/>
      <c r="K1270" s="87"/>
      <c r="L1270" s="87"/>
      <c r="M1270" s="289"/>
      <c r="N1270" s="87"/>
      <c r="O1270" s="87"/>
      <c r="P1270" s="87"/>
      <c r="Q1270" s="87"/>
      <c r="R1270" s="289"/>
      <c r="S1270" s="87"/>
      <c r="T1270" s="87"/>
      <c r="U1270" s="87"/>
      <c r="V1270" s="87"/>
      <c r="W1270" s="289"/>
    </row>
    <row r="1271" spans="1:23" s="290" customFormat="1" x14ac:dyDescent="0.2">
      <c r="A1271" s="286"/>
      <c r="B1271" s="287"/>
      <c r="C1271" s="288"/>
      <c r="D1271" s="87"/>
      <c r="E1271" s="87"/>
      <c r="F1271" s="87"/>
      <c r="G1271" s="87"/>
      <c r="H1271" s="289"/>
      <c r="I1271" s="289"/>
      <c r="J1271" s="87"/>
      <c r="K1271" s="87"/>
      <c r="L1271" s="87"/>
      <c r="M1271" s="289"/>
      <c r="N1271" s="87"/>
      <c r="O1271" s="87"/>
      <c r="P1271" s="87"/>
      <c r="Q1271" s="87"/>
      <c r="R1271" s="289"/>
      <c r="S1271" s="87"/>
      <c r="T1271" s="87"/>
      <c r="U1271" s="87"/>
      <c r="V1271" s="87"/>
      <c r="W1271" s="289"/>
    </row>
    <row r="1272" spans="1:23" s="290" customFormat="1" x14ac:dyDescent="0.2">
      <c r="A1272" s="286"/>
      <c r="B1272" s="287"/>
      <c r="C1272" s="288"/>
      <c r="D1272" s="87"/>
      <c r="E1272" s="87"/>
      <c r="F1272" s="87"/>
      <c r="G1272" s="87"/>
      <c r="H1272" s="289"/>
      <c r="I1272" s="289"/>
      <c r="J1272" s="87"/>
      <c r="K1272" s="87"/>
      <c r="L1272" s="87"/>
      <c r="M1272" s="289"/>
      <c r="N1272" s="87"/>
      <c r="O1272" s="87"/>
      <c r="P1272" s="87"/>
      <c r="Q1272" s="87"/>
      <c r="R1272" s="289"/>
      <c r="S1272" s="87"/>
      <c r="T1272" s="87"/>
      <c r="U1272" s="87"/>
      <c r="V1272" s="87"/>
      <c r="W1272" s="289"/>
    </row>
    <row r="1273" spans="1:23" s="290" customFormat="1" x14ac:dyDescent="0.2">
      <c r="A1273" s="286"/>
      <c r="B1273" s="287"/>
      <c r="C1273" s="288"/>
      <c r="D1273" s="87"/>
      <c r="E1273" s="87"/>
      <c r="F1273" s="87"/>
      <c r="G1273" s="87"/>
      <c r="H1273" s="289"/>
      <c r="I1273" s="289"/>
      <c r="J1273" s="87"/>
      <c r="K1273" s="87"/>
      <c r="L1273" s="87"/>
      <c r="M1273" s="289"/>
      <c r="N1273" s="87"/>
      <c r="O1273" s="87"/>
      <c r="P1273" s="87"/>
      <c r="Q1273" s="87"/>
      <c r="R1273" s="289"/>
      <c r="S1273" s="87"/>
      <c r="T1273" s="87"/>
      <c r="U1273" s="87"/>
      <c r="V1273" s="87"/>
      <c r="W1273" s="289"/>
    </row>
    <row r="1274" spans="1:23" s="290" customFormat="1" x14ac:dyDescent="0.2">
      <c r="A1274" s="286"/>
      <c r="B1274" s="287"/>
      <c r="C1274" s="288"/>
      <c r="D1274" s="87"/>
      <c r="E1274" s="87"/>
      <c r="F1274" s="87"/>
      <c r="G1274" s="87"/>
      <c r="H1274" s="289"/>
      <c r="I1274" s="289"/>
      <c r="J1274" s="87"/>
      <c r="K1274" s="87"/>
      <c r="L1274" s="87"/>
      <c r="M1274" s="289"/>
      <c r="N1274" s="87"/>
      <c r="O1274" s="87"/>
      <c r="P1274" s="87"/>
      <c r="Q1274" s="87"/>
      <c r="R1274" s="289"/>
      <c r="S1274" s="87"/>
      <c r="T1274" s="87"/>
      <c r="U1274" s="87"/>
      <c r="V1274" s="87"/>
      <c r="W1274" s="289"/>
    </row>
    <row r="1275" spans="1:23" s="290" customFormat="1" x14ac:dyDescent="0.2">
      <c r="A1275" s="286"/>
      <c r="B1275" s="287"/>
      <c r="C1275" s="288"/>
      <c r="D1275" s="87"/>
      <c r="E1275" s="87"/>
      <c r="F1275" s="87"/>
      <c r="G1275" s="87"/>
      <c r="H1275" s="289"/>
      <c r="I1275" s="289"/>
      <c r="J1275" s="87"/>
      <c r="K1275" s="87"/>
      <c r="L1275" s="87"/>
      <c r="M1275" s="289"/>
      <c r="N1275" s="87"/>
      <c r="O1275" s="87"/>
      <c r="P1275" s="87"/>
      <c r="Q1275" s="87"/>
      <c r="R1275" s="289"/>
      <c r="S1275" s="87"/>
      <c r="T1275" s="87"/>
      <c r="U1275" s="87"/>
      <c r="V1275" s="87"/>
      <c r="W1275" s="289"/>
    </row>
    <row r="1276" spans="1:23" s="290" customFormat="1" x14ac:dyDescent="0.2">
      <c r="A1276" s="286"/>
      <c r="B1276" s="287"/>
      <c r="C1276" s="288"/>
      <c r="D1276" s="87"/>
      <c r="E1276" s="87"/>
      <c r="F1276" s="87"/>
      <c r="G1276" s="87"/>
      <c r="H1276" s="289"/>
      <c r="I1276" s="289"/>
      <c r="J1276" s="87"/>
      <c r="K1276" s="87"/>
      <c r="L1276" s="87"/>
      <c r="M1276" s="289"/>
      <c r="N1276" s="87"/>
      <c r="O1276" s="87"/>
      <c r="P1276" s="87"/>
      <c r="Q1276" s="87"/>
      <c r="R1276" s="289"/>
      <c r="S1276" s="87"/>
      <c r="T1276" s="87"/>
      <c r="U1276" s="87"/>
      <c r="V1276" s="87"/>
      <c r="W1276" s="289"/>
    </row>
    <row r="1277" spans="1:23" s="290" customFormat="1" x14ac:dyDescent="0.2">
      <c r="A1277" s="286"/>
      <c r="B1277" s="287"/>
      <c r="C1277" s="288"/>
      <c r="D1277" s="87"/>
      <c r="E1277" s="87"/>
      <c r="F1277" s="87"/>
      <c r="G1277" s="87"/>
      <c r="H1277" s="289"/>
      <c r="I1277" s="289"/>
      <c r="J1277" s="87"/>
      <c r="K1277" s="87"/>
      <c r="L1277" s="87"/>
      <c r="M1277" s="289"/>
      <c r="N1277" s="87"/>
      <c r="O1277" s="87"/>
      <c r="P1277" s="87"/>
      <c r="Q1277" s="87"/>
      <c r="R1277" s="289"/>
      <c r="S1277" s="87"/>
      <c r="T1277" s="87"/>
      <c r="U1277" s="87"/>
      <c r="V1277" s="87"/>
      <c r="W1277" s="289"/>
    </row>
    <row r="1278" spans="1:23" s="290" customFormat="1" x14ac:dyDescent="0.2">
      <c r="A1278" s="286"/>
      <c r="B1278" s="287"/>
      <c r="C1278" s="288"/>
      <c r="D1278" s="87"/>
      <c r="E1278" s="87"/>
      <c r="F1278" s="87"/>
      <c r="G1278" s="87"/>
      <c r="H1278" s="289"/>
      <c r="I1278" s="289"/>
      <c r="J1278" s="87"/>
      <c r="K1278" s="87"/>
      <c r="L1278" s="87"/>
      <c r="M1278" s="289"/>
      <c r="N1278" s="87"/>
      <c r="O1278" s="87"/>
      <c r="P1278" s="87"/>
      <c r="Q1278" s="87"/>
      <c r="R1278" s="289"/>
      <c r="S1278" s="87"/>
      <c r="T1278" s="87"/>
      <c r="U1278" s="87"/>
      <c r="V1278" s="87"/>
      <c r="W1278" s="289"/>
    </row>
    <row r="1279" spans="1:23" s="290" customFormat="1" x14ac:dyDescent="0.2">
      <c r="A1279" s="286"/>
      <c r="B1279" s="287"/>
      <c r="C1279" s="288"/>
      <c r="D1279" s="87"/>
      <c r="E1279" s="87"/>
      <c r="F1279" s="87"/>
      <c r="G1279" s="87"/>
      <c r="H1279" s="289"/>
      <c r="I1279" s="289"/>
      <c r="J1279" s="87"/>
      <c r="K1279" s="87"/>
      <c r="L1279" s="87"/>
      <c r="M1279" s="289"/>
      <c r="N1279" s="87"/>
      <c r="O1279" s="87"/>
      <c r="P1279" s="87"/>
      <c r="Q1279" s="87"/>
      <c r="R1279" s="289"/>
      <c r="S1279" s="87"/>
      <c r="T1279" s="87"/>
      <c r="U1279" s="87"/>
      <c r="V1279" s="87"/>
      <c r="W1279" s="289"/>
    </row>
    <row r="1280" spans="1:23" s="290" customFormat="1" x14ac:dyDescent="0.2">
      <c r="A1280" s="286"/>
      <c r="B1280" s="287"/>
      <c r="C1280" s="288"/>
      <c r="D1280" s="87"/>
      <c r="E1280" s="87"/>
      <c r="F1280" s="87"/>
      <c r="G1280" s="87"/>
      <c r="H1280" s="289"/>
      <c r="I1280" s="289"/>
      <c r="J1280" s="87"/>
      <c r="K1280" s="87"/>
      <c r="L1280" s="87"/>
      <c r="M1280" s="289"/>
      <c r="N1280" s="87"/>
      <c r="O1280" s="87"/>
      <c r="P1280" s="87"/>
      <c r="Q1280" s="87"/>
      <c r="R1280" s="289"/>
      <c r="S1280" s="87"/>
      <c r="T1280" s="87"/>
      <c r="U1280" s="87"/>
      <c r="V1280" s="87"/>
      <c r="W1280" s="289"/>
    </row>
    <row r="1281" spans="1:23" s="290" customFormat="1" x14ac:dyDescent="0.2">
      <c r="A1281" s="286"/>
      <c r="B1281" s="287"/>
      <c r="C1281" s="288"/>
      <c r="D1281" s="87"/>
      <c r="E1281" s="87"/>
      <c r="F1281" s="87"/>
      <c r="G1281" s="87"/>
      <c r="H1281" s="289"/>
      <c r="I1281" s="289"/>
      <c r="J1281" s="87"/>
      <c r="K1281" s="87"/>
      <c r="L1281" s="87"/>
      <c r="M1281" s="289"/>
      <c r="N1281" s="87"/>
      <c r="O1281" s="87"/>
      <c r="P1281" s="87"/>
      <c r="Q1281" s="87"/>
      <c r="R1281" s="289"/>
      <c r="S1281" s="87"/>
      <c r="T1281" s="87"/>
      <c r="U1281" s="87"/>
      <c r="V1281" s="87"/>
      <c r="W1281" s="289"/>
    </row>
    <row r="1282" spans="1:23" s="290" customFormat="1" x14ac:dyDescent="0.2">
      <c r="A1282" s="286"/>
      <c r="B1282" s="287"/>
      <c r="C1282" s="288"/>
      <c r="D1282" s="87"/>
      <c r="E1282" s="87"/>
      <c r="F1282" s="87"/>
      <c r="G1282" s="87"/>
      <c r="H1282" s="289"/>
      <c r="I1282" s="289"/>
      <c r="J1282" s="87"/>
      <c r="K1282" s="87"/>
      <c r="L1282" s="87"/>
      <c r="M1282" s="289"/>
      <c r="N1282" s="87"/>
      <c r="O1282" s="87"/>
      <c r="P1282" s="87"/>
      <c r="Q1282" s="87"/>
      <c r="R1282" s="289"/>
      <c r="S1282" s="87"/>
      <c r="T1282" s="87"/>
      <c r="U1282" s="87"/>
      <c r="V1282" s="87"/>
      <c r="W1282" s="289"/>
    </row>
    <row r="1283" spans="1:23" s="290" customFormat="1" x14ac:dyDescent="0.2">
      <c r="A1283" s="286"/>
      <c r="B1283" s="287"/>
      <c r="C1283" s="288"/>
      <c r="D1283" s="87"/>
      <c r="E1283" s="87"/>
      <c r="F1283" s="87"/>
      <c r="G1283" s="87"/>
      <c r="H1283" s="289"/>
      <c r="I1283" s="289"/>
      <c r="J1283" s="87"/>
      <c r="K1283" s="87"/>
      <c r="L1283" s="87"/>
      <c r="M1283" s="289"/>
      <c r="N1283" s="87"/>
      <c r="O1283" s="87"/>
      <c r="P1283" s="87"/>
      <c r="Q1283" s="87"/>
      <c r="R1283" s="289"/>
      <c r="S1283" s="87"/>
      <c r="T1283" s="87"/>
      <c r="U1283" s="87"/>
      <c r="V1283" s="87"/>
      <c r="W1283" s="289"/>
    </row>
    <row r="1284" spans="1:23" s="290" customFormat="1" x14ac:dyDescent="0.2">
      <c r="A1284" s="286"/>
      <c r="B1284" s="287"/>
      <c r="C1284" s="288"/>
      <c r="D1284" s="87"/>
      <c r="E1284" s="87"/>
      <c r="F1284" s="87"/>
      <c r="G1284" s="87"/>
      <c r="H1284" s="289"/>
      <c r="I1284" s="289"/>
      <c r="J1284" s="87"/>
      <c r="K1284" s="87"/>
      <c r="L1284" s="87"/>
      <c r="M1284" s="289"/>
      <c r="N1284" s="87"/>
      <c r="O1284" s="87"/>
      <c r="P1284" s="87"/>
      <c r="Q1284" s="87"/>
      <c r="R1284" s="289"/>
      <c r="S1284" s="87"/>
      <c r="T1284" s="87"/>
      <c r="U1284" s="87"/>
      <c r="V1284" s="87"/>
      <c r="W1284" s="289"/>
    </row>
    <row r="1285" spans="1:23" s="290" customFormat="1" x14ac:dyDescent="0.2">
      <c r="A1285" s="286"/>
      <c r="B1285" s="287"/>
      <c r="C1285" s="288"/>
      <c r="D1285" s="87"/>
      <c r="E1285" s="87"/>
      <c r="F1285" s="87"/>
      <c r="G1285" s="87"/>
      <c r="H1285" s="289"/>
      <c r="I1285" s="289"/>
      <c r="J1285" s="87"/>
      <c r="K1285" s="87"/>
      <c r="L1285" s="87"/>
      <c r="M1285" s="289"/>
      <c r="N1285" s="87"/>
      <c r="O1285" s="87"/>
      <c r="P1285" s="87"/>
      <c r="Q1285" s="87"/>
      <c r="R1285" s="289"/>
      <c r="S1285" s="87"/>
      <c r="T1285" s="87"/>
      <c r="U1285" s="87"/>
      <c r="V1285" s="87"/>
      <c r="W1285" s="289"/>
    </row>
    <row r="1286" spans="1:23" s="290" customFormat="1" x14ac:dyDescent="0.2">
      <c r="A1286" s="286"/>
      <c r="B1286" s="287"/>
      <c r="C1286" s="288"/>
      <c r="D1286" s="87"/>
      <c r="E1286" s="87"/>
      <c r="F1286" s="87"/>
      <c r="G1286" s="87"/>
      <c r="H1286" s="289"/>
      <c r="I1286" s="289"/>
      <c r="J1286" s="87"/>
      <c r="K1286" s="87"/>
      <c r="L1286" s="87"/>
      <c r="M1286" s="289"/>
      <c r="N1286" s="87"/>
      <c r="O1286" s="87"/>
      <c r="P1286" s="87"/>
      <c r="Q1286" s="87"/>
      <c r="R1286" s="289"/>
      <c r="S1286" s="87"/>
      <c r="T1286" s="87"/>
      <c r="U1286" s="87"/>
      <c r="V1286" s="87"/>
      <c r="W1286" s="289"/>
    </row>
    <row r="1287" spans="1:23" s="290" customFormat="1" x14ac:dyDescent="0.2">
      <c r="A1287" s="286"/>
      <c r="B1287" s="287"/>
      <c r="C1287" s="288"/>
      <c r="D1287" s="87"/>
      <c r="E1287" s="87"/>
      <c r="F1287" s="87"/>
      <c r="G1287" s="87"/>
      <c r="H1287" s="289"/>
      <c r="I1287" s="289"/>
      <c r="J1287" s="87"/>
      <c r="K1287" s="87"/>
      <c r="L1287" s="87"/>
      <c r="M1287" s="289"/>
      <c r="N1287" s="87"/>
      <c r="O1287" s="87"/>
      <c r="P1287" s="87"/>
      <c r="Q1287" s="87"/>
      <c r="R1287" s="289"/>
      <c r="S1287" s="87"/>
      <c r="T1287" s="87"/>
      <c r="U1287" s="87"/>
      <c r="V1287" s="87"/>
      <c r="W1287" s="289"/>
    </row>
    <row r="1288" spans="1:23" s="290" customFormat="1" x14ac:dyDescent="0.2">
      <c r="A1288" s="286"/>
      <c r="B1288" s="287"/>
      <c r="C1288" s="288"/>
      <c r="D1288" s="87"/>
      <c r="E1288" s="87"/>
      <c r="F1288" s="87"/>
      <c r="G1288" s="87"/>
      <c r="H1288" s="289"/>
      <c r="I1288" s="289"/>
      <c r="J1288" s="87"/>
      <c r="K1288" s="87"/>
      <c r="L1288" s="87"/>
      <c r="M1288" s="289"/>
      <c r="N1288" s="87"/>
      <c r="O1288" s="87"/>
      <c r="P1288" s="87"/>
      <c r="Q1288" s="87"/>
      <c r="R1288" s="289"/>
      <c r="S1288" s="87"/>
      <c r="T1288" s="87"/>
      <c r="U1288" s="87"/>
      <c r="V1288" s="87"/>
      <c r="W1288" s="289"/>
    </row>
  </sheetData>
  <autoFilter ref="A8:Z8"/>
  <mergeCells count="12">
    <mergeCell ref="A800:A806"/>
    <mergeCell ref="A807:A813"/>
    <mergeCell ref="A815:A820"/>
    <mergeCell ref="A694:A725"/>
    <mergeCell ref="A726:A738"/>
    <mergeCell ref="A741:A747"/>
    <mergeCell ref="A751:A757"/>
    <mergeCell ref="A765:A771"/>
    <mergeCell ref="A772:A778"/>
    <mergeCell ref="A779:A785"/>
    <mergeCell ref="A786:A792"/>
    <mergeCell ref="A793:A799"/>
  </mergeCells>
  <pageMargins left="0.25" right="0.25" top="0.75" bottom="0.75" header="0.3" footer="0.3"/>
  <pageSetup scale="47" fitToWidth="0" fitToHeight="0" orientation="landscape" r:id="rId1"/>
  <headerFooter>
    <oddFooter>&amp;C&amp;P de &amp;N&amp;R&amp;"Arial,Negrita"&amp;8Clave: GDIR-1.0-12-005
Versión: 01
Fecha: 30/05/2014
Página: &amp;P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K25"/>
  <sheetViews>
    <sheetView showGridLines="0" topLeftCell="A16" zoomScaleNormal="100" workbookViewId="0">
      <selection activeCell="H25" sqref="H25"/>
    </sheetView>
  </sheetViews>
  <sheetFormatPr baseColWidth="10" defaultRowHeight="15" x14ac:dyDescent="0.25"/>
  <cols>
    <col min="1" max="1" width="5.28515625" customWidth="1"/>
    <col min="2" max="2" width="11.7109375" style="22" customWidth="1"/>
    <col min="3" max="3" width="14.140625" customWidth="1"/>
    <col min="4" max="4" width="49" customWidth="1"/>
    <col min="5" max="5" width="10.85546875" style="78" customWidth="1"/>
    <col min="6" max="6" width="39" customWidth="1"/>
    <col min="8" max="8" width="10.85546875" style="78" customWidth="1"/>
  </cols>
  <sheetData>
    <row r="1" spans="1:11" x14ac:dyDescent="0.25">
      <c r="A1" s="2615" t="s">
        <v>343</v>
      </c>
      <c r="B1" s="2616"/>
      <c r="C1" s="2616"/>
      <c r="D1" s="2616"/>
      <c r="E1" s="2616"/>
      <c r="F1" s="2617"/>
      <c r="H1"/>
    </row>
    <row r="2" spans="1:11" ht="29.25" customHeight="1" x14ac:dyDescent="0.25">
      <c r="A2" s="2618" t="s">
        <v>344</v>
      </c>
      <c r="B2" s="2619"/>
      <c r="C2" s="2618" t="s">
        <v>345</v>
      </c>
      <c r="D2" s="2619"/>
      <c r="E2" s="40" t="s">
        <v>346</v>
      </c>
      <c r="F2" s="41" t="s">
        <v>347</v>
      </c>
      <c r="H2" s="42" t="s">
        <v>346</v>
      </c>
    </row>
    <row r="3" spans="1:11" ht="99.75" customHeight="1" x14ac:dyDescent="0.25">
      <c r="A3" s="43">
        <v>1</v>
      </c>
      <c r="B3" s="44" t="s">
        <v>348</v>
      </c>
      <c r="C3" s="44" t="s">
        <v>349</v>
      </c>
      <c r="D3" s="45"/>
      <c r="E3" s="46">
        <f>15/22</f>
        <v>0.68181818181818177</v>
      </c>
      <c r="F3" s="47" t="s">
        <v>396</v>
      </c>
      <c r="G3" s="24"/>
      <c r="H3" s="46">
        <f>15/22</f>
        <v>0.68181818181818177</v>
      </c>
    </row>
    <row r="4" spans="1:11" ht="56.25" x14ac:dyDescent="0.25">
      <c r="A4" s="48">
        <v>1</v>
      </c>
      <c r="B4" s="49" t="s">
        <v>348</v>
      </c>
      <c r="C4" s="49" t="s">
        <v>350</v>
      </c>
      <c r="D4" s="50"/>
      <c r="E4" s="51">
        <f>+(11/553159)*1000000</f>
        <v>19.885783291964881</v>
      </c>
      <c r="F4" s="52" t="s">
        <v>397</v>
      </c>
      <c r="G4" s="24"/>
      <c r="H4" s="53">
        <v>0.19889999999999999</v>
      </c>
    </row>
    <row r="5" spans="1:11" ht="102" x14ac:dyDescent="0.25">
      <c r="A5" s="48">
        <v>2</v>
      </c>
      <c r="B5" s="49" t="s">
        <v>351</v>
      </c>
      <c r="C5" s="49" t="s">
        <v>352</v>
      </c>
      <c r="D5" s="54"/>
      <c r="E5" s="55" t="s">
        <v>353</v>
      </c>
      <c r="F5" s="56" t="s">
        <v>398</v>
      </c>
      <c r="G5" s="81"/>
      <c r="H5" s="55" t="s">
        <v>353</v>
      </c>
    </row>
    <row r="6" spans="1:11" ht="102" x14ac:dyDescent="0.25">
      <c r="A6" s="48">
        <v>2</v>
      </c>
      <c r="B6" s="49" t="s">
        <v>351</v>
      </c>
      <c r="C6" s="49" t="s">
        <v>354</v>
      </c>
      <c r="D6" s="54"/>
      <c r="E6" s="55">
        <v>0.7</v>
      </c>
      <c r="F6" s="56" t="s">
        <v>399</v>
      </c>
      <c r="G6" s="23"/>
      <c r="H6" s="55">
        <v>0.7</v>
      </c>
    </row>
    <row r="7" spans="1:11" ht="57" x14ac:dyDescent="0.25">
      <c r="A7" s="48">
        <v>3</v>
      </c>
      <c r="B7" s="49" t="s">
        <v>355</v>
      </c>
      <c r="C7" s="49" t="s">
        <v>356</v>
      </c>
      <c r="D7" s="54"/>
      <c r="E7" s="55">
        <v>0</v>
      </c>
      <c r="F7" s="56" t="s">
        <v>400</v>
      </c>
      <c r="G7" s="81"/>
      <c r="H7" s="55"/>
    </row>
    <row r="8" spans="1:11" ht="102" x14ac:dyDescent="0.25">
      <c r="A8" s="48">
        <v>3</v>
      </c>
      <c r="B8" s="49" t="s">
        <v>355</v>
      </c>
      <c r="C8" s="49" t="s">
        <v>357</v>
      </c>
      <c r="D8" s="54"/>
      <c r="E8" s="48" t="s">
        <v>353</v>
      </c>
      <c r="F8" s="56" t="s">
        <v>401</v>
      </c>
      <c r="G8" s="24"/>
      <c r="H8" s="48" t="s">
        <v>353</v>
      </c>
    </row>
    <row r="9" spans="1:11" ht="102" x14ac:dyDescent="0.25">
      <c r="A9" s="48">
        <v>4</v>
      </c>
      <c r="B9" s="49" t="s">
        <v>358</v>
      </c>
      <c r="C9" s="49" t="s">
        <v>359</v>
      </c>
      <c r="D9" s="54"/>
      <c r="E9" s="48" t="s">
        <v>353</v>
      </c>
      <c r="F9" s="56" t="s">
        <v>360</v>
      </c>
      <c r="G9" s="81"/>
      <c r="H9" s="48" t="s">
        <v>353</v>
      </c>
    </row>
    <row r="10" spans="1:11" ht="78.75" x14ac:dyDescent="0.25">
      <c r="A10" s="48">
        <v>4</v>
      </c>
      <c r="B10" s="49" t="s">
        <v>358</v>
      </c>
      <c r="C10" s="49" t="s">
        <v>361</v>
      </c>
      <c r="D10" s="54"/>
      <c r="E10" s="57">
        <v>0.5</v>
      </c>
      <c r="F10" s="52" t="s">
        <v>362</v>
      </c>
      <c r="G10" s="81"/>
      <c r="H10" s="57">
        <v>0.5</v>
      </c>
    </row>
    <row r="11" spans="1:11" ht="132" x14ac:dyDescent="0.25">
      <c r="A11" s="58">
        <v>5</v>
      </c>
      <c r="B11" s="59" t="s">
        <v>363</v>
      </c>
      <c r="C11" s="59" t="s">
        <v>364</v>
      </c>
      <c r="D11" s="60" t="s">
        <v>365</v>
      </c>
      <c r="E11" s="61" t="s">
        <v>366</v>
      </c>
      <c r="F11" s="60" t="s">
        <v>367</v>
      </c>
      <c r="G11" s="81"/>
      <c r="H11" s="62">
        <v>0.56850000000000001</v>
      </c>
    </row>
    <row r="12" spans="1:11" ht="62.25" customHeight="1" x14ac:dyDescent="0.25">
      <c r="A12" s="58">
        <v>5</v>
      </c>
      <c r="B12" s="59" t="s">
        <v>363</v>
      </c>
      <c r="C12" s="59" t="s">
        <v>368</v>
      </c>
      <c r="D12" s="63"/>
      <c r="E12" s="61" t="s">
        <v>369</v>
      </c>
      <c r="F12" s="64" t="s">
        <v>370</v>
      </c>
      <c r="G12" s="81"/>
      <c r="H12" s="65" t="s">
        <v>371</v>
      </c>
    </row>
    <row r="13" spans="1:11" ht="72.75" x14ac:dyDescent="0.25">
      <c r="A13" s="58">
        <v>5</v>
      </c>
      <c r="B13" s="59" t="s">
        <v>363</v>
      </c>
      <c r="C13" s="59" t="s">
        <v>372</v>
      </c>
      <c r="D13" s="63"/>
      <c r="E13" s="66">
        <f>25/32</f>
        <v>0.78125</v>
      </c>
      <c r="F13" s="64" t="s">
        <v>373</v>
      </c>
      <c r="G13" s="81"/>
      <c r="H13" s="67">
        <f>25/32</f>
        <v>0.78125</v>
      </c>
    </row>
    <row r="14" spans="1:11" ht="84.75" x14ac:dyDescent="0.25">
      <c r="A14" s="58">
        <v>6</v>
      </c>
      <c r="B14" s="59" t="s">
        <v>374</v>
      </c>
      <c r="C14" s="59" t="s">
        <v>375</v>
      </c>
      <c r="D14" s="68" t="s">
        <v>376</v>
      </c>
      <c r="E14" s="66">
        <v>0.15</v>
      </c>
      <c r="F14" s="82" t="s">
        <v>377</v>
      </c>
      <c r="G14" s="81"/>
      <c r="H14" s="67">
        <v>0.15</v>
      </c>
    </row>
    <row r="15" spans="1:11" ht="108.75" x14ac:dyDescent="0.25">
      <c r="A15" s="58">
        <v>6</v>
      </c>
      <c r="B15" s="59" t="s">
        <v>374</v>
      </c>
      <c r="C15" s="59" t="s">
        <v>378</v>
      </c>
      <c r="D15" s="63"/>
      <c r="E15" s="66">
        <v>1.1160000000000001</v>
      </c>
      <c r="F15" s="64" t="s">
        <v>379</v>
      </c>
      <c r="G15" s="83"/>
      <c r="H15" s="67">
        <v>1</v>
      </c>
    </row>
    <row r="16" spans="1:11" ht="72" x14ac:dyDescent="0.25">
      <c r="A16" s="58">
        <v>6</v>
      </c>
      <c r="B16" s="59" t="s">
        <v>374</v>
      </c>
      <c r="C16" s="59" t="s">
        <v>380</v>
      </c>
      <c r="D16" s="63"/>
      <c r="E16" s="66">
        <f>989202000/1281270000</f>
        <v>0.77204804607928068</v>
      </c>
      <c r="F16" s="69" t="s">
        <v>381</v>
      </c>
      <c r="G16" s="81"/>
      <c r="H16" s="67">
        <f>989202000/1281270000</f>
        <v>0.77204804607928068</v>
      </c>
      <c r="K16" s="70"/>
    </row>
    <row r="17" spans="1:8" ht="76.5" customHeight="1" x14ac:dyDescent="0.25">
      <c r="A17" s="58">
        <v>6</v>
      </c>
      <c r="B17" s="59" t="s">
        <v>374</v>
      </c>
      <c r="C17" s="59" t="s">
        <v>382</v>
      </c>
      <c r="D17" s="63"/>
      <c r="E17" s="66">
        <v>0.81222499999999997</v>
      </c>
      <c r="F17" s="64" t="s">
        <v>383</v>
      </c>
      <c r="G17" s="25"/>
      <c r="H17" s="67">
        <v>0.81222499999999997</v>
      </c>
    </row>
    <row r="18" spans="1:8" ht="89.25" customHeight="1" x14ac:dyDescent="0.25">
      <c r="A18" s="58">
        <v>6</v>
      </c>
      <c r="B18" s="59" t="s">
        <v>374</v>
      </c>
      <c r="C18" s="59" t="s">
        <v>384</v>
      </c>
      <c r="D18" s="63"/>
      <c r="E18" s="71">
        <v>0.52839999999999998</v>
      </c>
      <c r="F18" s="64" t="s">
        <v>385</v>
      </c>
      <c r="G18" s="25"/>
      <c r="H18" s="55">
        <v>0.52839999999999998</v>
      </c>
    </row>
    <row r="19" spans="1:8" ht="84.75" x14ac:dyDescent="0.25">
      <c r="A19" s="58">
        <v>6</v>
      </c>
      <c r="B19" s="59" t="s">
        <v>374</v>
      </c>
      <c r="C19" s="59" t="s">
        <v>386</v>
      </c>
      <c r="D19" s="63"/>
      <c r="E19" s="71">
        <v>0.39</v>
      </c>
      <c r="F19" s="64" t="s">
        <v>387</v>
      </c>
      <c r="G19" s="25"/>
      <c r="H19" s="55">
        <v>0.39</v>
      </c>
    </row>
    <row r="20" spans="1:8" ht="60" x14ac:dyDescent="0.25">
      <c r="A20" s="58">
        <v>6</v>
      </c>
      <c r="B20" s="59" t="s">
        <v>374</v>
      </c>
      <c r="C20" s="59" t="s">
        <v>388</v>
      </c>
      <c r="D20" s="63"/>
      <c r="E20" s="58">
        <v>20</v>
      </c>
      <c r="F20" s="64" t="s">
        <v>389</v>
      </c>
      <c r="G20" s="25"/>
      <c r="H20" s="55">
        <v>0.2</v>
      </c>
    </row>
    <row r="21" spans="1:8" ht="60.75" x14ac:dyDescent="0.25">
      <c r="A21" s="58">
        <v>6</v>
      </c>
      <c r="B21" s="59" t="s">
        <v>374</v>
      </c>
      <c r="C21" s="59" t="s">
        <v>390</v>
      </c>
      <c r="D21" s="63"/>
      <c r="E21" s="71">
        <v>0.75</v>
      </c>
      <c r="F21" s="64" t="s">
        <v>391</v>
      </c>
      <c r="G21" s="25"/>
      <c r="H21" s="55">
        <v>0.75</v>
      </c>
    </row>
    <row r="22" spans="1:8" ht="60.75" x14ac:dyDescent="0.25">
      <c r="A22" s="58">
        <v>6</v>
      </c>
      <c r="B22" s="59" t="s">
        <v>374</v>
      </c>
      <c r="C22" s="59" t="s">
        <v>392</v>
      </c>
      <c r="D22" s="63"/>
      <c r="E22" s="71">
        <v>1</v>
      </c>
      <c r="F22" s="64" t="s">
        <v>393</v>
      </c>
      <c r="G22" s="25"/>
      <c r="H22" s="55">
        <v>1</v>
      </c>
    </row>
    <row r="23" spans="1:8" ht="50.25" customHeight="1" x14ac:dyDescent="0.25">
      <c r="A23" s="72">
        <v>6</v>
      </c>
      <c r="B23" s="73" t="s">
        <v>374</v>
      </c>
      <c r="C23" s="73" t="s">
        <v>394</v>
      </c>
      <c r="D23" s="74"/>
      <c r="E23" s="75" t="s">
        <v>353</v>
      </c>
      <c r="F23" s="76" t="s">
        <v>395</v>
      </c>
      <c r="G23" s="81"/>
      <c r="H23" s="77" t="s">
        <v>353</v>
      </c>
    </row>
    <row r="24" spans="1:8" x14ac:dyDescent="0.25">
      <c r="H24" s="79">
        <v>0.96</v>
      </c>
    </row>
    <row r="25" spans="1:8" x14ac:dyDescent="0.25">
      <c r="H25" s="80">
        <v>0.62460000000000004</v>
      </c>
    </row>
  </sheetData>
  <mergeCells count="3">
    <mergeCell ref="A1:F1"/>
    <mergeCell ref="A2:B2"/>
    <mergeCell ref="C2:D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AA149"/>
  <sheetViews>
    <sheetView topLeftCell="A110" workbookViewId="0">
      <selection activeCell="A48" sqref="A48"/>
    </sheetView>
  </sheetViews>
  <sheetFormatPr baseColWidth="10" defaultRowHeight="15" x14ac:dyDescent="0.25"/>
  <cols>
    <col min="1" max="1" width="27.5703125" customWidth="1"/>
  </cols>
  <sheetData>
    <row r="2" spans="1:1" x14ac:dyDescent="0.25">
      <c r="A2" s="37" t="s">
        <v>329</v>
      </c>
    </row>
    <row r="29" spans="27:27" ht="23.25" x14ac:dyDescent="0.25">
      <c r="AA29" s="38" t="s">
        <v>330</v>
      </c>
    </row>
    <row r="40" spans="1:12" x14ac:dyDescent="0.25">
      <c r="A40" s="37" t="s">
        <v>331</v>
      </c>
    </row>
    <row r="44" spans="1:12" x14ac:dyDescent="0.25">
      <c r="L44" s="39" t="s">
        <v>332</v>
      </c>
    </row>
    <row r="62" spans="11:11" x14ac:dyDescent="0.25">
      <c r="K62" s="39" t="s">
        <v>333</v>
      </c>
    </row>
    <row r="84" spans="1:12" x14ac:dyDescent="0.25">
      <c r="L84" s="39" t="s">
        <v>334</v>
      </c>
    </row>
    <row r="92" spans="1:12" x14ac:dyDescent="0.25">
      <c r="A92" s="37" t="s">
        <v>335</v>
      </c>
    </row>
    <row r="104" spans="1:12" x14ac:dyDescent="0.25">
      <c r="L104" s="39" t="s">
        <v>336</v>
      </c>
    </row>
    <row r="110" spans="1:12" x14ac:dyDescent="0.25">
      <c r="A110" s="37" t="s">
        <v>337</v>
      </c>
    </row>
    <row r="121" spans="12:12" x14ac:dyDescent="0.25">
      <c r="L121" s="39" t="s">
        <v>338</v>
      </c>
    </row>
    <row r="129" spans="1:1" x14ac:dyDescent="0.25">
      <c r="A129" s="37" t="s">
        <v>339</v>
      </c>
    </row>
    <row r="146" spans="1:12" x14ac:dyDescent="0.25">
      <c r="L146" s="39" t="s">
        <v>340</v>
      </c>
    </row>
    <row r="149" spans="1:12" x14ac:dyDescent="0.25">
      <c r="A149" s="37" t="s">
        <v>341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4:F37"/>
  <sheetViews>
    <sheetView workbookViewId="0">
      <selection activeCell="E33" sqref="E33"/>
    </sheetView>
  </sheetViews>
  <sheetFormatPr baseColWidth="10" defaultRowHeight="15" x14ac:dyDescent="0.25"/>
  <cols>
    <col min="2" max="2" width="47.28515625" customWidth="1"/>
    <col min="3" max="3" width="22.42578125" style="22" customWidth="1"/>
    <col min="5" max="5" width="34.5703125" customWidth="1"/>
    <col min="6" max="6" width="31.85546875" customWidth="1"/>
  </cols>
  <sheetData>
    <row r="4" spans="2:6" x14ac:dyDescent="0.25">
      <c r="B4" s="33" t="s">
        <v>7</v>
      </c>
      <c r="C4" s="33" t="s">
        <v>324</v>
      </c>
    </row>
    <row r="5" spans="2:6" x14ac:dyDescent="0.25">
      <c r="B5" s="34" t="s">
        <v>8</v>
      </c>
      <c r="C5" s="32"/>
      <c r="E5" s="322" t="s">
        <v>1176</v>
      </c>
      <c r="F5" s="323" t="s">
        <v>1177</v>
      </c>
    </row>
    <row r="6" spans="2:6" x14ac:dyDescent="0.25">
      <c r="B6" s="35" t="s">
        <v>1111</v>
      </c>
      <c r="C6" s="36" t="s">
        <v>4</v>
      </c>
      <c r="D6" t="s">
        <v>402</v>
      </c>
    </row>
    <row r="7" spans="2:6" x14ac:dyDescent="0.25">
      <c r="B7" s="34" t="s">
        <v>325</v>
      </c>
      <c r="C7" s="32"/>
    </row>
    <row r="8" spans="2:6" x14ac:dyDescent="0.25">
      <c r="B8" s="34" t="s">
        <v>10</v>
      </c>
      <c r="C8" s="36" t="s">
        <v>4</v>
      </c>
      <c r="D8" t="s">
        <v>402</v>
      </c>
    </row>
    <row r="9" spans="2:6" x14ac:dyDescent="0.25">
      <c r="B9" s="34" t="s">
        <v>11</v>
      </c>
      <c r="C9" s="36" t="s">
        <v>4</v>
      </c>
      <c r="D9" t="s">
        <v>402</v>
      </c>
    </row>
    <row r="10" spans="2:6" x14ac:dyDescent="0.25">
      <c r="B10" s="34" t="s">
        <v>326</v>
      </c>
      <c r="C10" s="36" t="s">
        <v>4</v>
      </c>
      <c r="D10" t="s">
        <v>402</v>
      </c>
    </row>
    <row r="11" spans="2:6" x14ac:dyDescent="0.25">
      <c r="B11" s="34" t="s">
        <v>307</v>
      </c>
      <c r="C11" s="36" t="s">
        <v>4</v>
      </c>
    </row>
    <row r="12" spans="2:6" x14ac:dyDescent="0.25">
      <c r="B12" s="34" t="s">
        <v>12</v>
      </c>
      <c r="C12" s="32"/>
      <c r="D12" t="s">
        <v>402</v>
      </c>
    </row>
    <row r="13" spans="2:6" x14ac:dyDescent="0.25">
      <c r="B13" s="34" t="s">
        <v>13</v>
      </c>
      <c r="C13" s="32"/>
      <c r="E13" t="s">
        <v>1178</v>
      </c>
      <c r="F13" t="s">
        <v>1179</v>
      </c>
    </row>
    <row r="14" spans="2:6" x14ac:dyDescent="0.25">
      <c r="B14" s="307" t="s">
        <v>327</v>
      </c>
      <c r="C14" s="36" t="s">
        <v>4</v>
      </c>
      <c r="D14" s="25" t="s">
        <v>402</v>
      </c>
    </row>
    <row r="15" spans="2:6" x14ac:dyDescent="0.25">
      <c r="B15" s="34" t="s">
        <v>15</v>
      </c>
      <c r="C15" s="32"/>
      <c r="D15" s="25"/>
      <c r="E15" t="s">
        <v>1180</v>
      </c>
      <c r="F15" t="s">
        <v>1179</v>
      </c>
    </row>
    <row r="16" spans="2:6" x14ac:dyDescent="0.25">
      <c r="B16" s="35" t="s">
        <v>235</v>
      </c>
      <c r="C16" s="36" t="s">
        <v>4</v>
      </c>
      <c r="D16" t="s">
        <v>403</v>
      </c>
    </row>
    <row r="17" spans="2:5" x14ac:dyDescent="0.25">
      <c r="B17" s="35" t="s">
        <v>17</v>
      </c>
      <c r="C17" s="36" t="s">
        <v>4</v>
      </c>
      <c r="D17" t="s">
        <v>402</v>
      </c>
    </row>
    <row r="18" spans="2:5" ht="39" x14ac:dyDescent="0.25">
      <c r="B18" s="35" t="s">
        <v>18</v>
      </c>
      <c r="C18" s="32"/>
      <c r="D18" s="25" t="s">
        <v>402</v>
      </c>
    </row>
    <row r="19" spans="2:5" x14ac:dyDescent="0.25">
      <c r="B19" s="35" t="s">
        <v>19</v>
      </c>
      <c r="C19" s="32"/>
      <c r="E19" s="323" t="s">
        <v>1182</v>
      </c>
    </row>
    <row r="20" spans="2:5" x14ac:dyDescent="0.25">
      <c r="B20" s="35" t="s">
        <v>20</v>
      </c>
      <c r="C20" s="32"/>
      <c r="E20" s="322" t="s">
        <v>1181</v>
      </c>
    </row>
    <row r="21" spans="2:5" x14ac:dyDescent="0.25">
      <c r="B21" s="35" t="s">
        <v>25</v>
      </c>
      <c r="C21" s="32"/>
      <c r="E21" t="s">
        <v>1183</v>
      </c>
    </row>
    <row r="22" spans="2:5" x14ac:dyDescent="0.25">
      <c r="B22" s="35" t="s">
        <v>21</v>
      </c>
      <c r="C22" s="36" t="s">
        <v>4</v>
      </c>
    </row>
    <row r="23" spans="2:5" x14ac:dyDescent="0.25">
      <c r="B23" s="35" t="s">
        <v>22</v>
      </c>
      <c r="C23" s="36" t="s">
        <v>4</v>
      </c>
    </row>
    <row r="24" spans="2:5" x14ac:dyDescent="0.25">
      <c r="B24" s="35" t="s">
        <v>23</v>
      </c>
      <c r="C24" s="36" t="s">
        <v>4</v>
      </c>
      <c r="D24" s="25" t="s">
        <v>402</v>
      </c>
    </row>
    <row r="25" spans="2:5" ht="26.25" x14ac:dyDescent="0.25">
      <c r="B25" s="35" t="s">
        <v>24</v>
      </c>
      <c r="C25" s="36" t="s">
        <v>4</v>
      </c>
      <c r="D25" t="s">
        <v>402</v>
      </c>
    </row>
    <row r="26" spans="2:5" x14ac:dyDescent="0.25">
      <c r="B26" s="31" t="s">
        <v>1118</v>
      </c>
    </row>
    <row r="29" spans="2:5" x14ac:dyDescent="0.25">
      <c r="B29" s="308"/>
    </row>
    <row r="30" spans="2:5" x14ac:dyDescent="0.25">
      <c r="B30" s="308"/>
    </row>
    <row r="31" spans="2:5" x14ac:dyDescent="0.25">
      <c r="B31" s="308" t="s">
        <v>1112</v>
      </c>
    </row>
    <row r="32" spans="2:5" x14ac:dyDescent="0.25">
      <c r="B32" s="308" t="s">
        <v>1113</v>
      </c>
    </row>
    <row r="33" spans="2:2" x14ac:dyDescent="0.25">
      <c r="B33" s="308" t="s">
        <v>1114</v>
      </c>
    </row>
    <row r="34" spans="2:2" x14ac:dyDescent="0.25">
      <c r="B34" s="308" t="s">
        <v>1115</v>
      </c>
    </row>
    <row r="35" spans="2:2" x14ac:dyDescent="0.25">
      <c r="B35" s="308" t="s">
        <v>1116</v>
      </c>
    </row>
    <row r="36" spans="2:2" x14ac:dyDescent="0.25">
      <c r="B36" s="308" t="s">
        <v>1117</v>
      </c>
    </row>
    <row r="37" spans="2:2" x14ac:dyDescent="0.25">
      <c r="B37" s="30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4:C26"/>
  <sheetViews>
    <sheetView topLeftCell="A4" workbookViewId="0">
      <selection activeCell="B18" sqref="B18:B21"/>
    </sheetView>
  </sheetViews>
  <sheetFormatPr baseColWidth="10" defaultRowHeight="15" x14ac:dyDescent="0.25"/>
  <cols>
    <col min="2" max="2" width="23.140625" customWidth="1"/>
    <col min="3" max="3" width="44.140625" customWidth="1"/>
  </cols>
  <sheetData>
    <row r="4" spans="2:3" ht="15.75" thickBot="1" x14ac:dyDescent="0.3"/>
    <row r="5" spans="2:3" ht="15.75" thickBot="1" x14ac:dyDescent="0.3">
      <c r="B5" s="2620" t="s">
        <v>223</v>
      </c>
      <c r="C5" s="30" t="s">
        <v>218</v>
      </c>
    </row>
    <row r="6" spans="2:3" ht="15.75" thickBot="1" x14ac:dyDescent="0.3">
      <c r="B6" s="2620"/>
      <c r="C6" s="30" t="s">
        <v>219</v>
      </c>
    </row>
    <row r="7" spans="2:3" ht="15.75" thickBot="1" x14ac:dyDescent="0.3">
      <c r="B7" s="2620"/>
      <c r="C7" s="30" t="s">
        <v>220</v>
      </c>
    </row>
    <row r="8" spans="2:3" ht="30.75" thickBot="1" x14ac:dyDescent="0.3">
      <c r="B8" s="2620"/>
      <c r="C8" s="30" t="s">
        <v>221</v>
      </c>
    </row>
    <row r="9" spans="2:3" ht="30.75" thickBot="1" x14ac:dyDescent="0.3">
      <c r="B9" s="2620"/>
      <c r="C9" s="30" t="s">
        <v>175</v>
      </c>
    </row>
    <row r="10" spans="2:3" ht="30.75" thickBot="1" x14ac:dyDescent="0.3">
      <c r="B10" s="2620"/>
      <c r="C10" s="30" t="s">
        <v>184</v>
      </c>
    </row>
    <row r="11" spans="2:3" ht="30.75" thickBot="1" x14ac:dyDescent="0.3">
      <c r="B11" s="2620"/>
      <c r="C11" s="30" t="s">
        <v>189</v>
      </c>
    </row>
    <row r="12" spans="2:3" ht="15.75" thickBot="1" x14ac:dyDescent="0.3">
      <c r="B12" s="2620"/>
      <c r="C12" s="30" t="s">
        <v>222</v>
      </c>
    </row>
    <row r="13" spans="2:3" ht="15.75" thickBot="1" x14ac:dyDescent="0.3">
      <c r="B13" s="2620"/>
      <c r="C13" s="30" t="s">
        <v>195</v>
      </c>
    </row>
    <row r="14" spans="2:3" ht="30.75" thickBot="1" x14ac:dyDescent="0.3">
      <c r="B14" s="2620"/>
      <c r="C14" s="30" t="s">
        <v>201</v>
      </c>
    </row>
    <row r="15" spans="2:3" ht="15.75" thickBot="1" x14ac:dyDescent="0.3">
      <c r="B15" s="2620"/>
      <c r="C15" s="30" t="s">
        <v>218</v>
      </c>
    </row>
    <row r="16" spans="2:3" ht="15.75" thickBot="1" x14ac:dyDescent="0.3">
      <c r="B16" s="2620"/>
      <c r="C16" s="30" t="s">
        <v>219</v>
      </c>
    </row>
    <row r="17" spans="2:3" ht="15.75" thickBot="1" x14ac:dyDescent="0.3"/>
    <row r="18" spans="2:3" ht="45.75" thickBot="1" x14ac:dyDescent="0.3">
      <c r="B18" s="2621" t="s">
        <v>235</v>
      </c>
      <c r="C18" s="30" t="s">
        <v>231</v>
      </c>
    </row>
    <row r="19" spans="2:3" ht="30.75" thickBot="1" x14ac:dyDescent="0.3">
      <c r="B19" s="2621"/>
      <c r="C19" s="30" t="s">
        <v>232</v>
      </c>
    </row>
    <row r="20" spans="2:3" ht="45.75" thickBot="1" x14ac:dyDescent="0.3">
      <c r="B20" s="2621"/>
      <c r="C20" s="30" t="s">
        <v>233</v>
      </c>
    </row>
    <row r="21" spans="2:3" ht="30.75" thickBot="1" x14ac:dyDescent="0.3">
      <c r="B21" s="2621"/>
      <c r="C21" s="30" t="s">
        <v>234</v>
      </c>
    </row>
    <row r="22" spans="2:3" ht="15.75" thickBot="1" x14ac:dyDescent="0.3"/>
    <row r="23" spans="2:3" ht="15.75" thickBot="1" x14ac:dyDescent="0.3">
      <c r="B23" s="2622" t="s">
        <v>307</v>
      </c>
      <c r="C23" s="30" t="s">
        <v>303</v>
      </c>
    </row>
    <row r="24" spans="2:3" ht="45.75" thickBot="1" x14ac:dyDescent="0.3">
      <c r="B24" s="2622"/>
      <c r="C24" s="30" t="s">
        <v>304</v>
      </c>
    </row>
    <row r="25" spans="2:3" ht="30.75" thickBot="1" x14ac:dyDescent="0.3">
      <c r="B25" s="2622"/>
      <c r="C25" s="30" t="s">
        <v>305</v>
      </c>
    </row>
    <row r="26" spans="2:3" ht="15.75" thickBot="1" x14ac:dyDescent="0.3">
      <c r="B26" s="2622"/>
      <c r="C26" s="30" t="s">
        <v>306</v>
      </c>
    </row>
  </sheetData>
  <mergeCells count="3">
    <mergeCell ref="B5:B16"/>
    <mergeCell ref="B18:B21"/>
    <mergeCell ref="B23:B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pageSetUpPr fitToPage="1"/>
  </sheetPr>
  <dimension ref="A1:AM14"/>
  <sheetViews>
    <sheetView topLeftCell="C1" zoomScale="85" zoomScaleNormal="85" zoomScaleSheetLayoutView="85" workbookViewId="0">
      <pane xSplit="7" ySplit="3" topLeftCell="AF4" activePane="bottomRight" state="frozen"/>
      <selection activeCell="C1" sqref="C1"/>
      <selection pane="topRight" activeCell="J1" sqref="J1"/>
      <selection pane="bottomLeft" activeCell="C4" sqref="C4"/>
      <selection pane="bottomRight" activeCell="D4" sqref="D4:D9"/>
    </sheetView>
  </sheetViews>
  <sheetFormatPr baseColWidth="10" defaultColWidth="11.5703125" defaultRowHeight="15" x14ac:dyDescent="0.25"/>
  <cols>
    <col min="1" max="1" width="23.5703125" style="876" customWidth="1"/>
    <col min="2" max="2" width="18.42578125" style="847" customWidth="1"/>
    <col min="3" max="3" width="19.7109375" style="802" customWidth="1"/>
    <col min="4" max="4" width="16.85546875" style="750" customWidth="1"/>
    <col min="5" max="5" width="18.7109375" style="802" customWidth="1"/>
    <col min="6" max="6" width="12.7109375" style="802" customWidth="1"/>
    <col min="7" max="7" width="13.5703125" style="802" customWidth="1"/>
    <col min="8" max="8" width="41.7109375" style="803" hidden="1" customWidth="1"/>
    <col min="9" max="9" width="34.7109375" style="803" customWidth="1"/>
    <col min="10" max="10" width="7" style="750" bestFit="1" customWidth="1"/>
    <col min="11" max="11" width="9" style="750" bestFit="1" customWidth="1"/>
    <col min="12" max="12" width="7.7109375" style="750" bestFit="1" customWidth="1"/>
    <col min="13" max="13" width="6" style="750" bestFit="1" customWidth="1"/>
    <col min="14" max="14" width="6.7109375" style="750" bestFit="1" customWidth="1"/>
    <col min="15" max="15" width="6.5703125" style="750" bestFit="1" customWidth="1"/>
    <col min="16" max="16" width="6" style="750" bestFit="1" customWidth="1"/>
    <col min="17" max="17" width="8.5703125" style="750" bestFit="1" customWidth="1"/>
    <col min="18" max="18" width="11.85546875" style="750" bestFit="1" customWidth="1"/>
    <col min="19" max="19" width="9.28515625" style="750" bestFit="1" customWidth="1"/>
    <col min="20" max="20" width="11.85546875" style="750" bestFit="1" customWidth="1"/>
    <col min="21" max="21" width="10.7109375" style="750" bestFit="1" customWidth="1"/>
    <col min="22" max="22" width="17.140625" style="750" hidden="1" customWidth="1"/>
    <col min="23" max="23" width="15.140625" style="750" hidden="1" customWidth="1"/>
    <col min="24" max="24" width="55.5703125" style="750" hidden="1" customWidth="1"/>
    <col min="25" max="25" width="17.85546875" style="750" hidden="1" customWidth="1"/>
    <col min="26" max="26" width="19.28515625" style="750" hidden="1" customWidth="1"/>
    <col min="27" max="27" width="27.85546875" style="750" hidden="1" customWidth="1"/>
    <col min="28" max="28" width="42.5703125" style="750" hidden="1" customWidth="1"/>
    <col min="29" max="29" width="39" style="851" hidden="1" customWidth="1"/>
    <col min="30" max="30" width="17.85546875" style="750" bestFit="1" customWidth="1"/>
    <col min="31" max="31" width="18.42578125" style="750" customWidth="1"/>
    <col min="32" max="32" width="27.85546875" style="750" customWidth="1"/>
    <col min="33" max="33" width="42.5703125" style="750" customWidth="1"/>
    <col min="34" max="34" width="36.28515625" style="851" customWidth="1"/>
    <col min="35" max="36" width="11.5703125" style="750"/>
    <col min="37" max="37" width="20.28515625" style="750" customWidth="1"/>
    <col min="38" max="38" width="28.42578125" style="750" customWidth="1"/>
    <col min="39" max="39" width="18.28515625" style="750" customWidth="1"/>
    <col min="40" max="16384" width="11.5703125" style="750"/>
  </cols>
  <sheetData>
    <row r="1" spans="1:39" ht="62.25" customHeight="1" x14ac:dyDescent="0.25">
      <c r="A1" s="1934" t="s">
        <v>2548</v>
      </c>
      <c r="B1" s="1935"/>
      <c r="C1" s="1935"/>
      <c r="D1" s="1935"/>
      <c r="E1" s="1935"/>
      <c r="F1" s="1935"/>
      <c r="G1" s="1935"/>
      <c r="H1" s="1935"/>
      <c r="I1" s="1936"/>
      <c r="J1" s="1939" t="s">
        <v>1351</v>
      </c>
      <c r="K1" s="1939"/>
      <c r="L1" s="1939"/>
      <c r="M1" s="1939"/>
      <c r="N1" s="1939"/>
      <c r="O1" s="1939"/>
      <c r="P1" s="1939"/>
      <c r="Q1" s="1939"/>
      <c r="R1" s="1939"/>
      <c r="S1" s="1939"/>
      <c r="T1" s="1939"/>
      <c r="U1" s="1939"/>
      <c r="V1" s="1932" t="s">
        <v>2125</v>
      </c>
      <c r="W1" s="1933"/>
      <c r="X1" s="1933"/>
      <c r="Y1" s="1932" t="s">
        <v>2137</v>
      </c>
      <c r="Z1" s="1933"/>
      <c r="AA1" s="1933"/>
      <c r="AB1" s="1933"/>
      <c r="AC1" s="1933"/>
      <c r="AD1" s="1932" t="s">
        <v>2629</v>
      </c>
      <c r="AE1" s="1933"/>
      <c r="AF1" s="1933"/>
      <c r="AG1" s="1933"/>
      <c r="AH1" s="1933"/>
      <c r="AI1" s="1932" t="s">
        <v>2870</v>
      </c>
      <c r="AJ1" s="1933"/>
      <c r="AK1" s="1933"/>
      <c r="AL1" s="1933"/>
      <c r="AM1" s="1933"/>
    </row>
    <row r="2" spans="1:39" ht="9" customHeight="1" x14ac:dyDescent="0.25">
      <c r="A2" s="806"/>
      <c r="B2" s="802"/>
      <c r="C2" s="807"/>
      <c r="D2" s="807"/>
      <c r="E2" s="807"/>
      <c r="F2" s="807"/>
      <c r="G2" s="808"/>
      <c r="H2" s="793"/>
      <c r="I2" s="793"/>
      <c r="J2" s="795"/>
      <c r="K2" s="743"/>
      <c r="L2" s="743"/>
      <c r="M2" s="743"/>
      <c r="N2" s="743"/>
      <c r="O2" s="743"/>
      <c r="P2" s="743"/>
      <c r="Q2" s="743"/>
      <c r="R2" s="743"/>
      <c r="S2" s="743"/>
      <c r="T2" s="743"/>
      <c r="U2" s="796"/>
      <c r="AM2" s="851"/>
    </row>
    <row r="3" spans="1:39" s="850" customFormat="1" ht="51.75" customHeight="1" x14ac:dyDescent="0.25">
      <c r="A3" s="777" t="s">
        <v>1221</v>
      </c>
      <c r="B3" s="777" t="s">
        <v>47</v>
      </c>
      <c r="C3" s="777" t="s">
        <v>1461</v>
      </c>
      <c r="D3" s="777" t="s">
        <v>1</v>
      </c>
      <c r="E3" s="777" t="s">
        <v>51</v>
      </c>
      <c r="F3" s="777" t="s">
        <v>2216</v>
      </c>
      <c r="G3" s="777" t="s">
        <v>3</v>
      </c>
      <c r="H3" s="777" t="s">
        <v>1291</v>
      </c>
      <c r="I3" s="777" t="s">
        <v>2111</v>
      </c>
      <c r="J3" s="777" t="s">
        <v>1352</v>
      </c>
      <c r="K3" s="777" t="s">
        <v>1353</v>
      </c>
      <c r="L3" s="777" t="s">
        <v>1354</v>
      </c>
      <c r="M3" s="777" t="s">
        <v>1355</v>
      </c>
      <c r="N3" s="777" t="s">
        <v>1356</v>
      </c>
      <c r="O3" s="777" t="s">
        <v>1357</v>
      </c>
      <c r="P3" s="777" t="s">
        <v>1358</v>
      </c>
      <c r="Q3" s="777" t="s">
        <v>1359</v>
      </c>
      <c r="R3" s="777" t="s">
        <v>1360</v>
      </c>
      <c r="S3" s="777" t="s">
        <v>1361</v>
      </c>
      <c r="T3" s="777" t="s">
        <v>1362</v>
      </c>
      <c r="U3" s="809" t="s">
        <v>1363</v>
      </c>
      <c r="V3" s="777" t="s">
        <v>1926</v>
      </c>
      <c r="W3" s="777" t="s">
        <v>1927</v>
      </c>
      <c r="X3" s="777" t="s">
        <v>347</v>
      </c>
      <c r="Y3" s="777" t="s">
        <v>1926</v>
      </c>
      <c r="Z3" s="777" t="s">
        <v>1927</v>
      </c>
      <c r="AA3" s="777" t="s">
        <v>2126</v>
      </c>
      <c r="AB3" s="777" t="s">
        <v>2159</v>
      </c>
      <c r="AC3" s="777" t="s">
        <v>1928</v>
      </c>
      <c r="AD3" s="777" t="s">
        <v>1926</v>
      </c>
      <c r="AE3" s="777" t="s">
        <v>1927</v>
      </c>
      <c r="AF3" s="777" t="s">
        <v>2126</v>
      </c>
      <c r="AG3" s="777" t="s">
        <v>2159</v>
      </c>
      <c r="AH3" s="777" t="s">
        <v>1928</v>
      </c>
      <c r="AI3" s="777" t="s">
        <v>1926</v>
      </c>
      <c r="AJ3" s="777" t="s">
        <v>1927</v>
      </c>
      <c r="AK3" s="777" t="s">
        <v>2126</v>
      </c>
      <c r="AL3" s="777" t="s">
        <v>2159</v>
      </c>
      <c r="AM3" s="777" t="s">
        <v>1928</v>
      </c>
    </row>
    <row r="4" spans="1:39" s="877" customFormat="1" ht="120" x14ac:dyDescent="0.25">
      <c r="A4" s="1937" t="s">
        <v>1547</v>
      </c>
      <c r="B4" s="1930" t="s">
        <v>374</v>
      </c>
      <c r="C4" s="1930" t="s">
        <v>1761</v>
      </c>
      <c r="D4" s="1930" t="s">
        <v>1763</v>
      </c>
      <c r="E4" s="1930" t="s">
        <v>1764</v>
      </c>
      <c r="F4" s="1930" t="s">
        <v>1792</v>
      </c>
      <c r="G4" s="1930" t="s">
        <v>1789</v>
      </c>
      <c r="H4" s="865" t="s">
        <v>1738</v>
      </c>
      <c r="I4" s="865" t="s">
        <v>2112</v>
      </c>
      <c r="J4" s="866" t="s">
        <v>1397</v>
      </c>
      <c r="K4" s="867" t="s">
        <v>1397</v>
      </c>
      <c r="L4" s="867" t="s">
        <v>1397</v>
      </c>
      <c r="M4" s="867" t="s">
        <v>1397</v>
      </c>
      <c r="N4" s="867" t="s">
        <v>1397</v>
      </c>
      <c r="O4" s="867" t="s">
        <v>1397</v>
      </c>
      <c r="P4" s="867" t="s">
        <v>1397</v>
      </c>
      <c r="Q4" s="867" t="s">
        <v>1397</v>
      </c>
      <c r="R4" s="867" t="s">
        <v>1397</v>
      </c>
      <c r="S4" s="867" t="s">
        <v>1397</v>
      </c>
      <c r="T4" s="867" t="s">
        <v>1397</v>
      </c>
      <c r="U4" s="868" t="s">
        <v>1397</v>
      </c>
      <c r="V4" s="857">
        <v>1</v>
      </c>
      <c r="W4" s="1944">
        <v>1</v>
      </c>
      <c r="X4" s="858" t="s">
        <v>2284</v>
      </c>
      <c r="Y4" s="883">
        <v>1</v>
      </c>
      <c r="Z4" s="1940">
        <v>1</v>
      </c>
      <c r="AA4" s="756" t="s">
        <v>2575</v>
      </c>
      <c r="AB4" s="756" t="s">
        <v>2576</v>
      </c>
      <c r="AC4" s="756" t="s">
        <v>2143</v>
      </c>
      <c r="AD4" s="1622">
        <v>1</v>
      </c>
      <c r="AE4" s="1940">
        <v>1</v>
      </c>
      <c r="AF4" s="756" t="s">
        <v>2575</v>
      </c>
      <c r="AG4" s="756" t="s">
        <v>2576</v>
      </c>
      <c r="AH4" s="756"/>
      <c r="AI4" s="1737">
        <v>1</v>
      </c>
      <c r="AJ4" s="1940">
        <v>1</v>
      </c>
      <c r="AK4" s="756"/>
      <c r="AL4" s="756" t="s">
        <v>3051</v>
      </c>
      <c r="AM4" s="756"/>
    </row>
    <row r="5" spans="1:39" s="877" customFormat="1" ht="75" x14ac:dyDescent="0.25">
      <c r="A5" s="1937"/>
      <c r="B5" s="1930"/>
      <c r="C5" s="1930"/>
      <c r="D5" s="1930"/>
      <c r="E5" s="1930"/>
      <c r="F5" s="1930"/>
      <c r="G5" s="1930"/>
      <c r="H5" s="870" t="s">
        <v>1793</v>
      </c>
      <c r="I5" s="870" t="s">
        <v>2113</v>
      </c>
      <c r="J5" s="871" t="s">
        <v>1397</v>
      </c>
      <c r="K5" s="818" t="s">
        <v>1397</v>
      </c>
      <c r="L5" s="818" t="s">
        <v>1397</v>
      </c>
      <c r="M5" s="818"/>
      <c r="N5" s="818"/>
      <c r="O5" s="818"/>
      <c r="P5" s="818"/>
      <c r="Q5" s="818"/>
      <c r="R5" s="818"/>
      <c r="S5" s="818"/>
      <c r="T5" s="818"/>
      <c r="U5" s="872"/>
      <c r="V5" s="857">
        <v>1</v>
      </c>
      <c r="W5" s="1945"/>
      <c r="X5" s="785" t="s">
        <v>2115</v>
      </c>
      <c r="Y5" s="883">
        <v>1</v>
      </c>
      <c r="Z5" s="1941"/>
      <c r="AA5" s="884" t="s">
        <v>2542</v>
      </c>
      <c r="AB5" s="884" t="s">
        <v>2543</v>
      </c>
      <c r="AC5" s="884" t="s">
        <v>2144</v>
      </c>
      <c r="AD5" s="1622">
        <v>1</v>
      </c>
      <c r="AE5" s="1941"/>
      <c r="AF5" s="884" t="s">
        <v>2542</v>
      </c>
      <c r="AG5" s="1701" t="s">
        <v>2840</v>
      </c>
      <c r="AH5" s="884" t="s">
        <v>2841</v>
      </c>
      <c r="AI5" s="1737">
        <v>1</v>
      </c>
      <c r="AJ5" s="1941"/>
      <c r="AK5" s="884" t="s">
        <v>2542</v>
      </c>
      <c r="AL5" s="1701" t="s">
        <v>2840</v>
      </c>
      <c r="AM5" s="884" t="s">
        <v>2841</v>
      </c>
    </row>
    <row r="6" spans="1:39" s="877" customFormat="1" ht="58.5" customHeight="1" x14ac:dyDescent="0.25">
      <c r="A6" s="1937"/>
      <c r="B6" s="1930"/>
      <c r="C6" s="1930"/>
      <c r="D6" s="1930"/>
      <c r="E6" s="1930"/>
      <c r="F6" s="1930"/>
      <c r="G6" s="1930"/>
      <c r="H6" s="870" t="s">
        <v>1794</v>
      </c>
      <c r="I6" s="1545" t="s">
        <v>1794</v>
      </c>
      <c r="J6" s="871"/>
      <c r="K6" s="818"/>
      <c r="L6" s="818"/>
      <c r="M6" s="818"/>
      <c r="N6" s="818"/>
      <c r="O6" s="818"/>
      <c r="P6" s="818"/>
      <c r="Q6" s="818"/>
      <c r="R6" s="818"/>
      <c r="S6" s="818"/>
      <c r="T6" s="818"/>
      <c r="U6" s="872"/>
      <c r="V6" s="860" t="s">
        <v>1906</v>
      </c>
      <c r="W6" s="1945"/>
      <c r="X6" s="861" t="s">
        <v>2577</v>
      </c>
      <c r="Y6" s="885" t="s">
        <v>1906</v>
      </c>
      <c r="Z6" s="1941"/>
      <c r="AA6" s="884"/>
      <c r="AB6" s="884"/>
      <c r="AC6" s="1942" t="s">
        <v>2546</v>
      </c>
      <c r="AD6" s="1623" t="s">
        <v>1906</v>
      </c>
      <c r="AE6" s="1941"/>
      <c r="AF6" s="884"/>
      <c r="AG6" s="1942" t="s">
        <v>2546</v>
      </c>
      <c r="AH6" s="1942" t="s">
        <v>2546</v>
      </c>
      <c r="AI6" s="1738" t="s">
        <v>1906</v>
      </c>
      <c r="AJ6" s="1941"/>
      <c r="AK6" s="884"/>
      <c r="AL6" s="1942" t="s">
        <v>2546</v>
      </c>
      <c r="AM6" s="1942" t="s">
        <v>2546</v>
      </c>
    </row>
    <row r="7" spans="1:39" s="877" customFormat="1" ht="58.5" customHeight="1" x14ac:dyDescent="0.25">
      <c r="A7" s="1937"/>
      <c r="B7" s="1930"/>
      <c r="C7" s="1930"/>
      <c r="D7" s="1930"/>
      <c r="E7" s="1930"/>
      <c r="F7" s="1930"/>
      <c r="G7" s="1930"/>
      <c r="H7" s="870" t="s">
        <v>1748</v>
      </c>
      <c r="I7" s="1545" t="s">
        <v>1748</v>
      </c>
      <c r="J7" s="871"/>
      <c r="K7" s="818"/>
      <c r="L7" s="818"/>
      <c r="M7" s="818"/>
      <c r="N7" s="818"/>
      <c r="O7" s="818"/>
      <c r="P7" s="818"/>
      <c r="Q7" s="818"/>
      <c r="R7" s="818"/>
      <c r="S7" s="818"/>
      <c r="T7" s="818"/>
      <c r="U7" s="872"/>
      <c r="V7" s="860" t="s">
        <v>1906</v>
      </c>
      <c r="W7" s="1945"/>
      <c r="X7" s="861" t="s">
        <v>2116</v>
      </c>
      <c r="Y7" s="885" t="s">
        <v>1906</v>
      </c>
      <c r="Z7" s="1941"/>
      <c r="AA7" s="884"/>
      <c r="AB7" s="884"/>
      <c r="AC7" s="1943"/>
      <c r="AD7" s="1623" t="s">
        <v>1906</v>
      </c>
      <c r="AE7" s="1941"/>
      <c r="AF7" s="884"/>
      <c r="AG7" s="1943"/>
      <c r="AH7" s="1943"/>
      <c r="AI7" s="1738" t="s">
        <v>1906</v>
      </c>
      <c r="AJ7" s="1941"/>
      <c r="AK7" s="884"/>
      <c r="AL7" s="1943"/>
      <c r="AM7" s="1943"/>
    </row>
    <row r="8" spans="1:39" s="877" customFormat="1" ht="105" x14ac:dyDescent="0.25">
      <c r="A8" s="1937"/>
      <c r="B8" s="1930"/>
      <c r="C8" s="1930"/>
      <c r="D8" s="1930"/>
      <c r="E8" s="1930"/>
      <c r="F8" s="1930"/>
      <c r="G8" s="1930"/>
      <c r="H8" s="870" t="s">
        <v>1795</v>
      </c>
      <c r="I8" s="870" t="s">
        <v>2114</v>
      </c>
      <c r="J8" s="871" t="s">
        <v>1397</v>
      </c>
      <c r="K8" s="818" t="s">
        <v>1397</v>
      </c>
      <c r="L8" s="818" t="s">
        <v>1397</v>
      </c>
      <c r="M8" s="818"/>
      <c r="N8" s="818"/>
      <c r="O8" s="818"/>
      <c r="P8" s="818"/>
      <c r="Q8" s="818"/>
      <c r="R8" s="818"/>
      <c r="S8" s="818"/>
      <c r="T8" s="818"/>
      <c r="U8" s="872"/>
      <c r="V8" s="857">
        <v>1</v>
      </c>
      <c r="W8" s="1945"/>
      <c r="X8" s="859" t="s">
        <v>2578</v>
      </c>
      <c r="Y8" s="883">
        <v>1</v>
      </c>
      <c r="Z8" s="1941"/>
      <c r="AA8" s="884" t="s">
        <v>2544</v>
      </c>
      <c r="AB8" s="884" t="s">
        <v>2545</v>
      </c>
      <c r="AC8" s="884" t="s">
        <v>2145</v>
      </c>
      <c r="AD8" s="1622">
        <v>1</v>
      </c>
      <c r="AE8" s="1941"/>
      <c r="AF8" s="884" t="s">
        <v>2544</v>
      </c>
      <c r="AG8" s="884" t="s">
        <v>2545</v>
      </c>
      <c r="AH8" s="884" t="s">
        <v>2145</v>
      </c>
      <c r="AI8" s="1737">
        <v>1</v>
      </c>
      <c r="AJ8" s="1941"/>
      <c r="AK8" s="884" t="s">
        <v>2544</v>
      </c>
      <c r="AL8" s="884" t="s">
        <v>3052</v>
      </c>
      <c r="AM8" s="884"/>
    </row>
    <row r="9" spans="1:39" s="877" customFormat="1" ht="75.75" customHeight="1" x14ac:dyDescent="0.25">
      <c r="A9" s="1938"/>
      <c r="B9" s="1931"/>
      <c r="C9" s="1931"/>
      <c r="D9" s="1931"/>
      <c r="E9" s="1931"/>
      <c r="F9" s="1931"/>
      <c r="G9" s="1931"/>
      <c r="H9" s="870" t="s">
        <v>1762</v>
      </c>
      <c r="I9" s="870" t="s">
        <v>1762</v>
      </c>
      <c r="J9" s="873" t="s">
        <v>1397</v>
      </c>
      <c r="K9" s="824" t="s">
        <v>1397</v>
      </c>
      <c r="L9" s="824" t="s">
        <v>1397</v>
      </c>
      <c r="M9" s="824" t="s">
        <v>1397</v>
      </c>
      <c r="N9" s="824" t="s">
        <v>1397</v>
      </c>
      <c r="O9" s="824" t="s">
        <v>1397</v>
      </c>
      <c r="P9" s="824" t="s">
        <v>1397</v>
      </c>
      <c r="Q9" s="824" t="s">
        <v>1397</v>
      </c>
      <c r="R9" s="824" t="s">
        <v>1397</v>
      </c>
      <c r="S9" s="824" t="s">
        <v>1397</v>
      </c>
      <c r="T9" s="824" t="s">
        <v>1397</v>
      </c>
      <c r="U9" s="874" t="s">
        <v>1397</v>
      </c>
      <c r="V9" s="862">
        <v>1</v>
      </c>
      <c r="W9" s="1946"/>
      <c r="X9" s="863" t="s">
        <v>2839</v>
      </c>
      <c r="Y9" s="883">
        <v>1</v>
      </c>
      <c r="Z9" s="1941"/>
      <c r="AA9" s="884" t="s">
        <v>2579</v>
      </c>
      <c r="AB9" s="884"/>
      <c r="AC9" s="884"/>
      <c r="AD9" s="1622">
        <v>1</v>
      </c>
      <c r="AE9" s="1941"/>
      <c r="AF9" s="884" t="s">
        <v>2579</v>
      </c>
      <c r="AG9" s="884" t="s">
        <v>2839</v>
      </c>
      <c r="AH9" s="884"/>
      <c r="AI9" s="1737">
        <v>1</v>
      </c>
      <c r="AJ9" s="1941"/>
      <c r="AK9" s="884" t="s">
        <v>2579</v>
      </c>
      <c r="AL9" s="884" t="s">
        <v>2839</v>
      </c>
      <c r="AM9" s="884"/>
    </row>
    <row r="10" spans="1:39" s="882" customFormat="1" x14ac:dyDescent="0.25">
      <c r="A10" s="878" t="s">
        <v>2280</v>
      </c>
      <c r="B10" s="879"/>
      <c r="C10" s="855"/>
      <c r="D10" s="878"/>
      <c r="E10" s="855"/>
      <c r="F10" s="855"/>
      <c r="G10" s="855"/>
      <c r="H10" s="880"/>
      <c r="I10" s="880"/>
      <c r="J10" s="787"/>
      <c r="K10" s="788"/>
      <c r="L10" s="788"/>
      <c r="M10" s="788"/>
      <c r="N10" s="788"/>
      <c r="O10" s="788"/>
      <c r="P10" s="788"/>
      <c r="Q10" s="788"/>
      <c r="R10" s="788"/>
      <c r="S10" s="788"/>
      <c r="T10" s="788"/>
      <c r="U10" s="766"/>
      <c r="V10" s="881">
        <v>1</v>
      </c>
      <c r="W10" s="766"/>
      <c r="X10" s="766"/>
      <c r="Y10" s="766"/>
      <c r="Z10" s="766"/>
      <c r="AA10" s="766"/>
      <c r="AB10" s="766"/>
      <c r="AC10" s="766"/>
      <c r="AD10" s="766"/>
      <c r="AE10" s="766"/>
      <c r="AF10" s="766"/>
      <c r="AG10" s="766"/>
      <c r="AH10" s="766"/>
    </row>
    <row r="11" spans="1:39" s="882" customFormat="1" x14ac:dyDescent="0.25">
      <c r="A11" s="878"/>
      <c r="B11" s="879"/>
      <c r="C11" s="855"/>
      <c r="D11" s="878"/>
      <c r="E11" s="855"/>
      <c r="F11" s="855"/>
      <c r="G11" s="855"/>
      <c r="H11" s="880"/>
      <c r="I11" s="880"/>
      <c r="J11" s="787"/>
      <c r="K11" s="788"/>
      <c r="L11" s="788"/>
      <c r="M11" s="788"/>
      <c r="N11" s="788"/>
      <c r="O11" s="788"/>
      <c r="P11" s="788"/>
      <c r="Q11" s="788"/>
      <c r="R11" s="788"/>
      <c r="S11" s="788"/>
      <c r="T11" s="788"/>
      <c r="U11" s="766"/>
      <c r="V11" s="881">
        <v>0.25</v>
      </c>
      <c r="W11" s="766"/>
      <c r="X11" s="766"/>
      <c r="Y11" s="766"/>
      <c r="Z11" s="766"/>
      <c r="AA11" s="766"/>
      <c r="AB11" s="766"/>
      <c r="AC11" s="766"/>
      <c r="AD11" s="766"/>
      <c r="AE11" s="766"/>
      <c r="AF11" s="766"/>
      <c r="AG11" s="766"/>
      <c r="AH11" s="766"/>
    </row>
    <row r="12" spans="1:39" x14ac:dyDescent="0.25">
      <c r="AI12" s="856" t="s">
        <v>2897</v>
      </c>
    </row>
    <row r="13" spans="1:39" x14ac:dyDescent="0.25">
      <c r="Y13" s="856" t="s">
        <v>2401</v>
      </c>
      <c r="Z13" s="856" t="s">
        <v>2396</v>
      </c>
      <c r="AD13" s="856" t="s">
        <v>2401</v>
      </c>
      <c r="AE13" s="856" t="s">
        <v>2396</v>
      </c>
      <c r="AI13" s="856" t="s">
        <v>2415</v>
      </c>
      <c r="AJ13" s="1711">
        <f>(100%*25%)</f>
        <v>0.25</v>
      </c>
    </row>
    <row r="14" spans="1:39" x14ac:dyDescent="0.25">
      <c r="Y14" s="856" t="s">
        <v>2547</v>
      </c>
      <c r="Z14" s="856" t="s">
        <v>2415</v>
      </c>
      <c r="AA14" s="1472">
        <f>(100%*25%)</f>
        <v>0.25</v>
      </c>
      <c r="AD14" s="856" t="s">
        <v>2547</v>
      </c>
      <c r="AE14" s="856" t="s">
        <v>2415</v>
      </c>
      <c r="AF14" s="1711">
        <f>(100%*25%)</f>
        <v>0.25</v>
      </c>
    </row>
  </sheetData>
  <mergeCells count="22">
    <mergeCell ref="AI1:AM1"/>
    <mergeCell ref="AJ4:AJ9"/>
    <mergeCell ref="AL6:AL7"/>
    <mergeCell ref="AM6:AM7"/>
    <mergeCell ref="AD1:AH1"/>
    <mergeCell ref="AE4:AE9"/>
    <mergeCell ref="AH6:AH7"/>
    <mergeCell ref="Y1:AC1"/>
    <mergeCell ref="Z4:Z9"/>
    <mergeCell ref="AC6:AC7"/>
    <mergeCell ref="AG6:AG7"/>
    <mergeCell ref="W4:W9"/>
    <mergeCell ref="C4:C9"/>
    <mergeCell ref="D4:D9"/>
    <mergeCell ref="V1:X1"/>
    <mergeCell ref="A1:I1"/>
    <mergeCell ref="A4:A9"/>
    <mergeCell ref="E4:E9"/>
    <mergeCell ref="B4:B9"/>
    <mergeCell ref="F4:F9"/>
    <mergeCell ref="G4:G9"/>
    <mergeCell ref="J1:U1"/>
  </mergeCells>
  <pageMargins left="0.70866141732283472" right="0.70866141732283472" top="0.74803149606299213" bottom="0.74803149606299213" header="0.31496062992125984" footer="0.31496062992125984"/>
  <pageSetup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8"/>
    <pageSetUpPr fitToPage="1"/>
  </sheetPr>
  <dimension ref="A1:AM12"/>
  <sheetViews>
    <sheetView topLeftCell="C1" zoomScale="85" zoomScaleNormal="85" zoomScaleSheetLayoutView="85" workbookViewId="0">
      <pane xSplit="6" ySplit="3" topLeftCell="I6" activePane="bottomRight" state="frozen"/>
      <selection activeCell="C1" sqref="C1"/>
      <selection pane="topRight" activeCell="I1" sqref="I1"/>
      <selection pane="bottomLeft" activeCell="C4" sqref="C4"/>
      <selection pane="bottomRight" activeCell="AD12" sqref="AD12"/>
    </sheetView>
  </sheetViews>
  <sheetFormatPr baseColWidth="10" defaultColWidth="11.5703125" defaultRowHeight="15" x14ac:dyDescent="0.25"/>
  <cols>
    <col min="1" max="2" width="15.42578125" style="899" customWidth="1"/>
    <col min="3" max="3" width="19" style="904" customWidth="1"/>
    <col min="4" max="4" width="16.28515625" style="905" customWidth="1"/>
    <col min="5" max="5" width="19.5703125" style="894" customWidth="1"/>
    <col min="6" max="6" width="18" style="886" customWidth="1"/>
    <col min="7" max="7" width="14.7109375" style="894" bestFit="1" customWidth="1"/>
    <col min="8" max="8" width="27.5703125" style="894" customWidth="1"/>
    <col min="9" max="9" width="7" style="894" bestFit="1" customWidth="1"/>
    <col min="10" max="10" width="9" style="895"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7109375" style="886" bestFit="1" customWidth="1"/>
    <col min="18" max="18" width="9.28515625" style="886" bestFit="1" customWidth="1"/>
    <col min="19" max="19" width="11.85546875" style="886" bestFit="1" customWidth="1"/>
    <col min="20" max="20" width="10.7109375" style="886" bestFit="1" customWidth="1"/>
    <col min="21" max="21" width="60.28515625" style="886" hidden="1" customWidth="1"/>
    <col min="22" max="22" width="22" style="886" hidden="1" customWidth="1"/>
    <col min="23" max="23" width="11.5703125" style="886" hidden="1" customWidth="1"/>
    <col min="24" max="24" width="20.7109375" style="886" hidden="1" customWidth="1"/>
    <col min="25" max="25" width="24" style="886" hidden="1" customWidth="1"/>
    <col min="26" max="26" width="19.5703125" style="886" hidden="1" customWidth="1"/>
    <col min="27" max="27" width="19" style="886" hidden="1" customWidth="1"/>
    <col min="28" max="29" width="22" style="886" hidden="1" customWidth="1"/>
    <col min="30" max="30" width="24" style="886" customWidth="1"/>
    <col min="31" max="31" width="19.5703125" style="886" customWidth="1"/>
    <col min="32" max="32" width="19" style="886" customWidth="1"/>
    <col min="33" max="33" width="32.7109375" style="886" customWidth="1"/>
    <col min="34" max="34" width="34.140625" style="886" customWidth="1"/>
    <col min="35" max="36" width="11.5703125" style="886"/>
    <col min="37" max="37" width="12.7109375" style="886" customWidth="1"/>
    <col min="38" max="38" width="19.28515625" style="886" customWidth="1"/>
    <col min="39" max="39" width="29.140625" style="886" customWidth="1"/>
    <col min="40" max="16384" width="11.5703125" style="886"/>
  </cols>
  <sheetData>
    <row r="1" spans="1:39" ht="53.25" customHeight="1" x14ac:dyDescent="0.25">
      <c r="A1" s="1950" t="s">
        <v>2549</v>
      </c>
      <c r="B1" s="1947"/>
      <c r="C1" s="1947"/>
      <c r="D1" s="1947"/>
      <c r="E1" s="1947"/>
      <c r="F1" s="1947"/>
      <c r="G1" s="1947"/>
      <c r="H1" s="1947"/>
      <c r="I1" s="1949" t="s">
        <v>1351</v>
      </c>
      <c r="J1" s="1949"/>
      <c r="K1" s="1949"/>
      <c r="L1" s="1949"/>
      <c r="M1" s="1949"/>
      <c r="N1" s="1949"/>
      <c r="O1" s="1949"/>
      <c r="P1" s="1949"/>
      <c r="Q1" s="1949"/>
      <c r="R1" s="1949"/>
      <c r="S1" s="1949"/>
      <c r="T1" s="1949"/>
      <c r="U1" s="1947" t="s">
        <v>1970</v>
      </c>
      <c r="V1" s="1947"/>
      <c r="W1" s="1947"/>
      <c r="X1" s="1948"/>
      <c r="Y1" s="1932" t="s">
        <v>2137</v>
      </c>
      <c r="Z1" s="1933"/>
      <c r="AA1" s="1933"/>
      <c r="AB1" s="1933"/>
      <c r="AC1" s="1933"/>
      <c r="AD1" s="1932" t="s">
        <v>2629</v>
      </c>
      <c r="AE1" s="1933"/>
      <c r="AF1" s="1933"/>
      <c r="AG1" s="1933"/>
      <c r="AH1" s="1933"/>
      <c r="AI1" s="1932" t="s">
        <v>2870</v>
      </c>
      <c r="AJ1" s="1933"/>
      <c r="AK1" s="1933"/>
      <c r="AL1" s="1933"/>
      <c r="AM1" s="1933"/>
    </row>
    <row r="2" spans="1:39" ht="12" customHeight="1" x14ac:dyDescent="0.25">
      <c r="A2" s="900"/>
      <c r="B2" s="894"/>
      <c r="C2" s="807"/>
      <c r="D2" s="807"/>
      <c r="E2" s="807"/>
      <c r="F2" s="807"/>
      <c r="G2" s="808"/>
      <c r="H2" s="793"/>
      <c r="I2" s="824"/>
      <c r="J2" s="824"/>
      <c r="K2" s="824"/>
      <c r="L2" s="824"/>
      <c r="M2" s="824"/>
      <c r="N2" s="824"/>
      <c r="O2" s="824"/>
      <c r="P2" s="824"/>
      <c r="Q2" s="824"/>
      <c r="R2" s="824"/>
      <c r="S2" s="824"/>
      <c r="T2" s="824"/>
    </row>
    <row r="3" spans="1:39" s="906" customFormat="1" ht="51.75" customHeight="1" x14ac:dyDescent="0.25">
      <c r="A3" s="777" t="s">
        <v>1221</v>
      </c>
      <c r="B3" s="777" t="s">
        <v>47</v>
      </c>
      <c r="C3" s="777" t="s">
        <v>1461</v>
      </c>
      <c r="D3" s="777" t="s">
        <v>1</v>
      </c>
      <c r="E3" s="777" t="s">
        <v>51</v>
      </c>
      <c r="F3" s="777" t="s">
        <v>2216</v>
      </c>
      <c r="G3" s="777" t="s">
        <v>3</v>
      </c>
      <c r="H3" s="777" t="s">
        <v>1291</v>
      </c>
      <c r="I3" s="777" t="s">
        <v>1352</v>
      </c>
      <c r="J3" s="777" t="s">
        <v>1353</v>
      </c>
      <c r="K3" s="777" t="s">
        <v>1354</v>
      </c>
      <c r="L3" s="777" t="s">
        <v>1355</v>
      </c>
      <c r="M3" s="777" t="s">
        <v>1356</v>
      </c>
      <c r="N3" s="777" t="s">
        <v>1357</v>
      </c>
      <c r="O3" s="777" t="s">
        <v>1358</v>
      </c>
      <c r="P3" s="777" t="s">
        <v>1359</v>
      </c>
      <c r="Q3" s="777" t="s">
        <v>1360</v>
      </c>
      <c r="R3" s="777" t="s">
        <v>1361</v>
      </c>
      <c r="S3" s="777" t="s">
        <v>1362</v>
      </c>
      <c r="T3" s="777" t="s">
        <v>1363</v>
      </c>
      <c r="U3" s="779" t="s">
        <v>1925</v>
      </c>
      <c r="V3" s="779" t="s">
        <v>1926</v>
      </c>
      <c r="W3" s="779" t="s">
        <v>1927</v>
      </c>
      <c r="X3" s="779" t="s">
        <v>1928</v>
      </c>
      <c r="Y3" s="777" t="s">
        <v>1926</v>
      </c>
      <c r="Z3" s="777" t="s">
        <v>1927</v>
      </c>
      <c r="AA3" s="777" t="s">
        <v>2126</v>
      </c>
      <c r="AB3" s="777" t="s">
        <v>2159</v>
      </c>
      <c r="AC3" s="777" t="s">
        <v>1928</v>
      </c>
      <c r="AD3" s="777" t="s">
        <v>1926</v>
      </c>
      <c r="AE3" s="777" t="s">
        <v>1927</v>
      </c>
      <c r="AF3" s="777" t="s">
        <v>2126</v>
      </c>
      <c r="AG3" s="777" t="s">
        <v>2159</v>
      </c>
      <c r="AH3" s="777" t="s">
        <v>1928</v>
      </c>
      <c r="AI3" s="777" t="s">
        <v>1926</v>
      </c>
      <c r="AJ3" s="777" t="s">
        <v>1927</v>
      </c>
      <c r="AK3" s="777" t="s">
        <v>2126</v>
      </c>
      <c r="AL3" s="777" t="s">
        <v>2159</v>
      </c>
      <c r="AM3" s="777" t="s">
        <v>1928</v>
      </c>
    </row>
    <row r="4" spans="1:39" s="908" customFormat="1" ht="68.25" customHeight="1" x14ac:dyDescent="0.25">
      <c r="A4" s="1951" t="s">
        <v>1479</v>
      </c>
      <c r="B4" s="1952" t="s">
        <v>374</v>
      </c>
      <c r="C4" s="1956" t="s">
        <v>1513</v>
      </c>
      <c r="D4" s="1957" t="s">
        <v>1516</v>
      </c>
      <c r="E4" s="1958" t="s">
        <v>1541</v>
      </c>
      <c r="F4" s="1959" t="s">
        <v>1486</v>
      </c>
      <c r="G4" s="1952" t="s">
        <v>1640</v>
      </c>
      <c r="H4" s="901" t="s">
        <v>1514</v>
      </c>
      <c r="I4" s="826"/>
      <c r="J4" s="827" t="s">
        <v>1397</v>
      </c>
      <c r="K4" s="827" t="s">
        <v>1397</v>
      </c>
      <c r="L4" s="827"/>
      <c r="M4" s="827"/>
      <c r="N4" s="827"/>
      <c r="O4" s="827"/>
      <c r="P4" s="827"/>
      <c r="Q4" s="827"/>
      <c r="R4" s="827"/>
      <c r="S4" s="827"/>
      <c r="T4" s="828"/>
      <c r="U4" s="889" t="s">
        <v>1949</v>
      </c>
      <c r="V4" s="887">
        <v>1</v>
      </c>
      <c r="W4" s="1953">
        <v>0.83</v>
      </c>
      <c r="X4" s="1955" t="s">
        <v>1950</v>
      </c>
      <c r="Y4" s="888">
        <v>1</v>
      </c>
      <c r="Z4" s="1953"/>
      <c r="AA4" s="889"/>
      <c r="AB4" s="889"/>
      <c r="AC4" s="889"/>
      <c r="AD4" s="1615">
        <v>1</v>
      </c>
      <c r="AE4" s="1953">
        <v>0.5</v>
      </c>
      <c r="AF4" s="889"/>
      <c r="AG4" s="889" t="s">
        <v>2780</v>
      </c>
      <c r="AH4" s="889"/>
      <c r="AI4" s="1735">
        <v>1</v>
      </c>
      <c r="AJ4" s="1953">
        <v>1</v>
      </c>
      <c r="AK4" s="1960" t="s">
        <v>3054</v>
      </c>
      <c r="AL4" s="1960" t="s">
        <v>3056</v>
      </c>
      <c r="AM4" s="1960" t="s">
        <v>3055</v>
      </c>
    </row>
    <row r="5" spans="1:39" s="908" customFormat="1" ht="60" x14ac:dyDescent="0.25">
      <c r="A5" s="1951"/>
      <c r="B5" s="1952"/>
      <c r="C5" s="1956"/>
      <c r="D5" s="1957"/>
      <c r="E5" s="1958"/>
      <c r="F5" s="1959"/>
      <c r="G5" s="1952"/>
      <c r="H5" s="901" t="s">
        <v>1641</v>
      </c>
      <c r="I5" s="829"/>
      <c r="J5" s="830" t="s">
        <v>1397</v>
      </c>
      <c r="K5" s="830" t="s">
        <v>1397</v>
      </c>
      <c r="L5" s="830" t="s">
        <v>1397</v>
      </c>
      <c r="M5" s="830"/>
      <c r="N5" s="830"/>
      <c r="O5" s="830"/>
      <c r="P5" s="830"/>
      <c r="Q5" s="830"/>
      <c r="R5" s="830"/>
      <c r="S5" s="830"/>
      <c r="T5" s="831"/>
      <c r="U5" s="889" t="s">
        <v>1951</v>
      </c>
      <c r="V5" s="887">
        <v>1</v>
      </c>
      <c r="W5" s="1954"/>
      <c r="X5" s="1955"/>
      <c r="Y5" s="888">
        <v>1</v>
      </c>
      <c r="Z5" s="1954"/>
      <c r="AA5" s="889"/>
      <c r="AB5" s="889"/>
      <c r="AC5" s="889"/>
      <c r="AD5" s="1615">
        <v>1</v>
      </c>
      <c r="AE5" s="1954"/>
      <c r="AF5" s="889"/>
      <c r="AG5" s="889" t="s">
        <v>2780</v>
      </c>
      <c r="AH5" s="889"/>
      <c r="AI5" s="1735">
        <v>1</v>
      </c>
      <c r="AJ5" s="1954"/>
      <c r="AK5" s="1961"/>
      <c r="AL5" s="1961"/>
      <c r="AM5" s="1961"/>
    </row>
    <row r="6" spans="1:39" s="908" customFormat="1" ht="195" customHeight="1" x14ac:dyDescent="0.25">
      <c r="A6" s="1951"/>
      <c r="B6" s="1952"/>
      <c r="C6" s="1956"/>
      <c r="D6" s="1957"/>
      <c r="E6" s="1958"/>
      <c r="F6" s="1959"/>
      <c r="G6" s="1952"/>
      <c r="H6" s="901" t="s">
        <v>1515</v>
      </c>
      <c r="I6" s="829"/>
      <c r="J6" s="830"/>
      <c r="K6" s="830"/>
      <c r="L6" s="830" t="s">
        <v>1397</v>
      </c>
      <c r="M6" s="830" t="s">
        <v>1397</v>
      </c>
      <c r="N6" s="830" t="s">
        <v>1397</v>
      </c>
      <c r="O6" s="830"/>
      <c r="P6" s="830"/>
      <c r="Q6" s="830"/>
      <c r="R6" s="830"/>
      <c r="S6" s="830"/>
      <c r="T6" s="831"/>
      <c r="U6" s="889" t="s">
        <v>1952</v>
      </c>
      <c r="V6" s="887">
        <v>0.5</v>
      </c>
      <c r="W6" s="1954"/>
      <c r="X6" s="1955"/>
      <c r="Y6" s="887"/>
      <c r="Z6" s="1954"/>
      <c r="AA6" s="889"/>
      <c r="AB6" s="889"/>
      <c r="AC6" s="890" t="s">
        <v>2146</v>
      </c>
      <c r="AD6" s="1705">
        <v>0</v>
      </c>
      <c r="AE6" s="1954"/>
      <c r="AF6" s="889"/>
      <c r="AG6" s="1770" t="s">
        <v>2781</v>
      </c>
      <c r="AH6" s="1704" t="s">
        <v>2864</v>
      </c>
      <c r="AI6" s="1742" t="s">
        <v>1906</v>
      </c>
      <c r="AJ6" s="1954"/>
      <c r="AK6" s="1961"/>
      <c r="AL6" s="1961"/>
      <c r="AM6" s="1961" t="s">
        <v>2864</v>
      </c>
    </row>
    <row r="7" spans="1:39" s="908" customFormat="1" ht="75" x14ac:dyDescent="0.25">
      <c r="A7" s="1951"/>
      <c r="B7" s="1952"/>
      <c r="C7" s="1956"/>
      <c r="D7" s="1957"/>
      <c r="E7" s="1958"/>
      <c r="F7" s="1959"/>
      <c r="G7" s="1952"/>
      <c r="H7" s="901" t="s">
        <v>1517</v>
      </c>
      <c r="I7" s="832"/>
      <c r="J7" s="833"/>
      <c r="K7" s="833"/>
      <c r="L7" s="833"/>
      <c r="M7" s="833" t="s">
        <v>1397</v>
      </c>
      <c r="N7" s="833" t="s">
        <v>1397</v>
      </c>
      <c r="O7" s="833" t="s">
        <v>1397</v>
      </c>
      <c r="P7" s="833" t="s">
        <v>1397</v>
      </c>
      <c r="Q7" s="833" t="s">
        <v>1397</v>
      </c>
      <c r="R7" s="833" t="s">
        <v>1397</v>
      </c>
      <c r="S7" s="833" t="s">
        <v>1397</v>
      </c>
      <c r="T7" s="834" t="s">
        <v>1397</v>
      </c>
      <c r="U7" s="889" t="s">
        <v>1953</v>
      </c>
      <c r="V7" s="891" t="s">
        <v>1906</v>
      </c>
      <c r="W7" s="1954"/>
      <c r="X7" s="1955"/>
      <c r="Y7" s="891"/>
      <c r="Z7" s="1954"/>
      <c r="AA7" s="889"/>
      <c r="AB7" s="889"/>
      <c r="AC7" s="890" t="s">
        <v>2147</v>
      </c>
      <c r="AD7" s="1703">
        <v>0</v>
      </c>
      <c r="AE7" s="1954"/>
      <c r="AF7" s="889"/>
      <c r="AG7" s="889" t="s">
        <v>1953</v>
      </c>
      <c r="AH7" s="1608" t="s">
        <v>2782</v>
      </c>
      <c r="AI7" s="1831" t="s">
        <v>1906</v>
      </c>
      <c r="AJ7" s="1954"/>
      <c r="AK7" s="1962"/>
      <c r="AL7" s="1962"/>
      <c r="AM7" s="1962" t="s">
        <v>2782</v>
      </c>
    </row>
    <row r="8" spans="1:39" x14ac:dyDescent="0.25">
      <c r="A8" s="902" t="s">
        <v>2280</v>
      </c>
      <c r="B8" s="903"/>
      <c r="C8" s="891"/>
      <c r="D8" s="892"/>
      <c r="E8" s="891"/>
      <c r="F8" s="891"/>
      <c r="G8" s="891"/>
      <c r="H8" s="893"/>
      <c r="I8" s="844"/>
      <c r="J8" s="846"/>
      <c r="K8" s="846"/>
      <c r="L8" s="846"/>
      <c r="M8" s="846"/>
      <c r="N8" s="846"/>
      <c r="O8" s="846"/>
      <c r="P8" s="846"/>
      <c r="Q8" s="846"/>
      <c r="R8" s="846"/>
      <c r="S8" s="846"/>
      <c r="T8" s="801"/>
      <c r="U8" s="801"/>
      <c r="V8" s="801"/>
      <c r="W8" s="801"/>
      <c r="X8" s="801"/>
      <c r="Y8" s="801"/>
      <c r="Z8" s="801"/>
      <c r="AA8" s="801"/>
      <c r="AB8" s="801"/>
      <c r="AC8" s="801"/>
      <c r="AD8" s="801"/>
      <c r="AE8" s="801"/>
      <c r="AF8" s="801"/>
      <c r="AG8" s="801"/>
      <c r="AH8" s="801"/>
    </row>
    <row r="9" spans="1:39" x14ac:dyDescent="0.25">
      <c r="A9" s="902"/>
      <c r="B9" s="903"/>
      <c r="C9" s="891"/>
      <c r="D9" s="892"/>
      <c r="E9" s="891"/>
      <c r="F9" s="891"/>
      <c r="G9" s="891"/>
      <c r="H9" s="893"/>
      <c r="I9" s="844"/>
      <c r="J9" s="846"/>
      <c r="K9" s="846"/>
      <c r="L9" s="846"/>
      <c r="M9" s="846"/>
      <c r="N9" s="846"/>
      <c r="O9" s="846"/>
      <c r="P9" s="846"/>
      <c r="Q9" s="846"/>
      <c r="R9" s="846"/>
      <c r="S9" s="846"/>
      <c r="T9" s="801"/>
      <c r="U9" s="801"/>
      <c r="V9" s="801"/>
      <c r="W9" s="801"/>
      <c r="X9" s="801"/>
      <c r="Y9" s="801"/>
      <c r="Z9" s="801"/>
      <c r="AA9" s="801"/>
      <c r="AB9" s="801"/>
      <c r="AC9" s="801"/>
      <c r="AD9" s="801"/>
      <c r="AE9" s="801"/>
      <c r="AF9" s="801"/>
      <c r="AG9" s="801"/>
      <c r="AH9" s="801"/>
    </row>
    <row r="10" spans="1:39" x14ac:dyDescent="0.25">
      <c r="A10" s="904"/>
      <c r="B10" s="905"/>
      <c r="C10" s="894"/>
      <c r="D10" s="886"/>
      <c r="F10" s="894"/>
      <c r="H10" s="895"/>
      <c r="I10" s="886"/>
      <c r="J10" s="886"/>
    </row>
    <row r="11" spans="1:39" x14ac:dyDescent="0.25">
      <c r="A11" s="904"/>
      <c r="B11" s="905"/>
      <c r="C11" s="894"/>
      <c r="D11" s="886"/>
      <c r="F11" s="894"/>
      <c r="H11" s="895"/>
      <c r="I11" s="886"/>
      <c r="J11" s="886"/>
      <c r="U11" s="916" t="s">
        <v>1954</v>
      </c>
      <c r="V11" s="916" t="s">
        <v>1955</v>
      </c>
      <c r="Y11" s="856" t="s">
        <v>2401</v>
      </c>
      <c r="Z11" s="856" t="s">
        <v>2414</v>
      </c>
      <c r="AD11" s="856" t="s">
        <v>2401</v>
      </c>
      <c r="AE11" s="856" t="s">
        <v>2414</v>
      </c>
    </row>
    <row r="12" spans="1:39" x14ac:dyDescent="0.25">
      <c r="A12" s="904"/>
      <c r="B12" s="905"/>
      <c r="C12" s="894"/>
      <c r="D12" s="886"/>
      <c r="F12" s="894"/>
      <c r="H12" s="895"/>
      <c r="I12" s="886"/>
      <c r="J12" s="886"/>
      <c r="U12" s="916" t="s">
        <v>1956</v>
      </c>
      <c r="V12" s="1095">
        <f>(83%*25%)</f>
        <v>0.20749999999999999</v>
      </c>
      <c r="Y12" s="856" t="s">
        <v>2416</v>
      </c>
      <c r="Z12" s="856" t="s">
        <v>2415</v>
      </c>
      <c r="AA12" s="1496" t="s">
        <v>2094</v>
      </c>
      <c r="AB12" s="910"/>
      <c r="AD12" s="856" t="s">
        <v>2422</v>
      </c>
      <c r="AE12" s="1714">
        <v>0.5</v>
      </c>
      <c r="AF12" s="1711">
        <f>(50%*25%)</f>
        <v>0.125</v>
      </c>
      <c r="AG12" s="910"/>
      <c r="AK12" s="1117">
        <v>0.25</v>
      </c>
    </row>
  </sheetData>
  <mergeCells count="21">
    <mergeCell ref="AI1:AM1"/>
    <mergeCell ref="AJ4:AJ7"/>
    <mergeCell ref="AD1:AH1"/>
    <mergeCell ref="AE4:AE7"/>
    <mergeCell ref="Y1:AC1"/>
    <mergeCell ref="Z4:Z7"/>
    <mergeCell ref="AL4:AL7"/>
    <mergeCell ref="AM4:AM7"/>
    <mergeCell ref="AK4:AK7"/>
    <mergeCell ref="U1:X1"/>
    <mergeCell ref="I1:T1"/>
    <mergeCell ref="A1:H1"/>
    <mergeCell ref="A4:A7"/>
    <mergeCell ref="B4:B7"/>
    <mergeCell ref="W4:W7"/>
    <mergeCell ref="X4:X7"/>
    <mergeCell ref="C4:C7"/>
    <mergeCell ref="D4:D7"/>
    <mergeCell ref="E4:E7"/>
    <mergeCell ref="F4:F7"/>
    <mergeCell ref="G4:G7"/>
  </mergeCells>
  <pageMargins left="0.70866141732283472" right="0.70866141732283472" top="0.74803149606299213" bottom="0.74803149606299213" header="0.31496062992125984" footer="0.31496062992125984"/>
  <pageSetup scale="2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Q26"/>
  <sheetViews>
    <sheetView topLeftCell="C10" zoomScale="90" zoomScaleNormal="90" workbookViewId="0">
      <selection activeCell="I23" sqref="I23"/>
    </sheetView>
  </sheetViews>
  <sheetFormatPr baseColWidth="10" defaultRowHeight="15" x14ac:dyDescent="0.25"/>
  <cols>
    <col min="1" max="1" width="17.42578125" style="886" customWidth="1"/>
    <col min="2" max="2" width="16.5703125" style="886" customWidth="1"/>
    <col min="3" max="3" width="25.42578125" style="886" customWidth="1"/>
    <col min="4" max="4" width="11.42578125" style="886"/>
    <col min="5" max="5" width="18.28515625" style="886" customWidth="1"/>
    <col min="6" max="6" width="19.85546875" style="886" customWidth="1"/>
    <col min="7" max="7" width="17.28515625" style="886" customWidth="1"/>
    <col min="8" max="8" width="40.42578125" style="886" customWidth="1"/>
    <col min="9" max="9" width="30.85546875" style="886" customWidth="1"/>
    <col min="10" max="10" width="7" style="886" hidden="1" customWidth="1"/>
    <col min="11" max="11" width="8.85546875" style="886" hidden="1" customWidth="1"/>
    <col min="12" max="12" width="7.7109375" style="886" hidden="1" customWidth="1"/>
    <col min="13" max="13" width="6" style="886" hidden="1" customWidth="1"/>
    <col min="14" max="14" width="6.7109375" style="886" hidden="1" customWidth="1"/>
    <col min="15" max="15" width="6.5703125" style="886" hidden="1" customWidth="1"/>
    <col min="16" max="16" width="6" style="886" hidden="1" customWidth="1"/>
    <col min="17" max="17" width="8.5703125" style="886" hidden="1" customWidth="1"/>
    <col min="18" max="18" width="0" style="886" hidden="1" customWidth="1"/>
    <col min="19" max="19" width="9.28515625" style="886" hidden="1" customWidth="1"/>
    <col min="20" max="20" width="11.5703125" style="886" hidden="1" customWidth="1"/>
    <col min="21" max="21" width="10.7109375" style="886" hidden="1" customWidth="1"/>
    <col min="22" max="22" width="16.7109375" style="886" hidden="1" customWidth="1"/>
    <col min="23" max="23" width="39.85546875" style="886" hidden="1" customWidth="1"/>
    <col min="24" max="24" width="11.42578125" style="886" hidden="1" customWidth="1"/>
    <col min="25" max="25" width="18.42578125" style="886" hidden="1" customWidth="1"/>
    <col min="26" max="26" width="21.140625" style="886" hidden="1" customWidth="1"/>
    <col min="27" max="27" width="26.28515625" style="886" hidden="1" customWidth="1"/>
    <col min="28" max="28" width="49.28515625" style="886" hidden="1" customWidth="1"/>
    <col min="29" max="29" width="18.42578125" style="886" hidden="1" customWidth="1"/>
    <col min="30" max="30" width="21.140625" style="886" hidden="1" customWidth="1"/>
    <col min="31" max="32" width="26.28515625" style="886" hidden="1" customWidth="1"/>
    <col min="33" max="33" width="49.28515625" style="886" hidden="1" customWidth="1"/>
    <col min="34" max="35" width="11.42578125" style="886"/>
    <col min="36" max="36" width="26.7109375" style="886" customWidth="1"/>
    <col min="37" max="37" width="46.140625" style="1707" customWidth="1"/>
    <col min="38" max="38" width="61.28515625" style="886" customWidth="1"/>
    <col min="39" max="40" width="11.42578125" style="886"/>
    <col min="41" max="41" width="32.42578125" style="886" customWidth="1"/>
    <col min="42" max="42" width="62.7109375" style="886" customWidth="1"/>
    <col min="43" max="43" width="53.28515625" style="886" customWidth="1"/>
    <col min="44" max="16384" width="11.42578125" style="886"/>
  </cols>
  <sheetData>
    <row r="1" spans="1:43" ht="48" customHeight="1" x14ac:dyDescent="0.25">
      <c r="A1" s="1934" t="s">
        <v>2550</v>
      </c>
      <c r="B1" s="1935"/>
      <c r="C1" s="1935"/>
      <c r="D1" s="1935"/>
      <c r="E1" s="1935"/>
      <c r="F1" s="1935"/>
      <c r="G1" s="1935"/>
      <c r="H1" s="1935"/>
      <c r="I1" s="1936"/>
      <c r="J1" s="2009" t="s">
        <v>1351</v>
      </c>
      <c r="K1" s="2010"/>
      <c r="L1" s="2010"/>
      <c r="M1" s="2010"/>
      <c r="N1" s="2010"/>
      <c r="O1" s="2010"/>
      <c r="P1" s="2010"/>
      <c r="Q1" s="2010"/>
      <c r="R1" s="2010"/>
      <c r="S1" s="2010"/>
      <c r="T1" s="2010"/>
      <c r="U1" s="2011"/>
      <c r="V1" s="1988" t="s">
        <v>2125</v>
      </c>
      <c r="W1" s="1989"/>
      <c r="X1" s="1990"/>
      <c r="Y1" s="1992" t="s">
        <v>2138</v>
      </c>
      <c r="Z1" s="1993"/>
      <c r="AA1" s="1993"/>
      <c r="AB1" s="1993"/>
      <c r="AC1" s="1992" t="s">
        <v>2138</v>
      </c>
      <c r="AD1" s="1993"/>
      <c r="AE1" s="1993"/>
      <c r="AF1" s="1993"/>
      <c r="AG1" s="1993"/>
      <c r="AH1" s="1992" t="s">
        <v>2630</v>
      </c>
      <c r="AI1" s="1993"/>
      <c r="AJ1" s="1993"/>
      <c r="AK1" s="1993"/>
      <c r="AL1" s="1993"/>
      <c r="AM1" s="1992" t="s">
        <v>2871</v>
      </c>
      <c r="AN1" s="1993"/>
      <c r="AO1" s="1993"/>
      <c r="AP1" s="1993"/>
      <c r="AQ1" s="1993"/>
    </row>
    <row r="2" spans="1:43" x14ac:dyDescent="0.25">
      <c r="A2" s="900"/>
      <c r="B2" s="894"/>
      <c r="C2" s="807"/>
      <c r="D2" s="807"/>
      <c r="E2" s="807"/>
      <c r="F2" s="807"/>
      <c r="G2" s="808"/>
      <c r="H2" s="793"/>
      <c r="AP2" s="1707"/>
    </row>
    <row r="3" spans="1:43" s="906" customFormat="1" ht="45.75" customHeight="1" x14ac:dyDescent="0.25">
      <c r="A3" s="809" t="s">
        <v>1221</v>
      </c>
      <c r="B3" s="777" t="s">
        <v>47</v>
      </c>
      <c r="C3" s="777" t="s">
        <v>1461</v>
      </c>
      <c r="D3" s="777" t="s">
        <v>1</v>
      </c>
      <c r="E3" s="777" t="s">
        <v>51</v>
      </c>
      <c r="F3" s="777" t="s">
        <v>2216</v>
      </c>
      <c r="G3" s="777" t="s">
        <v>3</v>
      </c>
      <c r="H3" s="777" t="s">
        <v>1291</v>
      </c>
      <c r="I3" s="811" t="s">
        <v>2072</v>
      </c>
      <c r="J3" s="811" t="s">
        <v>1352</v>
      </c>
      <c r="K3" s="779" t="s">
        <v>1353</v>
      </c>
      <c r="L3" s="779" t="s">
        <v>1354</v>
      </c>
      <c r="M3" s="779" t="s">
        <v>1355</v>
      </c>
      <c r="N3" s="779" t="s">
        <v>1356</v>
      </c>
      <c r="O3" s="779" t="s">
        <v>1357</v>
      </c>
      <c r="P3" s="779" t="s">
        <v>1358</v>
      </c>
      <c r="Q3" s="779" t="s">
        <v>1359</v>
      </c>
      <c r="R3" s="779" t="s">
        <v>1360</v>
      </c>
      <c r="S3" s="779" t="s">
        <v>1361</v>
      </c>
      <c r="T3" s="779" t="s">
        <v>1362</v>
      </c>
      <c r="U3" s="779" t="s">
        <v>1363</v>
      </c>
      <c r="V3" s="779" t="s">
        <v>1926</v>
      </c>
      <c r="W3" s="779" t="s">
        <v>1965</v>
      </c>
      <c r="X3" s="779" t="s">
        <v>1927</v>
      </c>
      <c r="Y3" s="777" t="s">
        <v>1926</v>
      </c>
      <c r="Z3" s="777" t="s">
        <v>1927</v>
      </c>
      <c r="AA3" s="777" t="s">
        <v>2126</v>
      </c>
      <c r="AB3" s="777" t="s">
        <v>1928</v>
      </c>
      <c r="AC3" s="1633" t="s">
        <v>1926</v>
      </c>
      <c r="AD3" s="1633" t="s">
        <v>1927</v>
      </c>
      <c r="AE3" s="1633" t="s">
        <v>2126</v>
      </c>
      <c r="AF3" s="1633" t="s">
        <v>1925</v>
      </c>
      <c r="AG3" s="1633" t="s">
        <v>1928</v>
      </c>
      <c r="AH3" s="1633" t="s">
        <v>1926</v>
      </c>
      <c r="AI3" s="1633" t="s">
        <v>1927</v>
      </c>
      <c r="AJ3" s="1633" t="s">
        <v>2126</v>
      </c>
      <c r="AK3" s="1708" t="s">
        <v>1925</v>
      </c>
      <c r="AL3" s="1633" t="s">
        <v>1928</v>
      </c>
      <c r="AM3" s="1633" t="s">
        <v>1926</v>
      </c>
      <c r="AN3" s="1633" t="s">
        <v>1927</v>
      </c>
      <c r="AO3" s="1633" t="s">
        <v>2126</v>
      </c>
      <c r="AP3" s="1708" t="s">
        <v>1925</v>
      </c>
      <c r="AQ3" s="1633" t="s">
        <v>1928</v>
      </c>
    </row>
    <row r="4" spans="1:43" s="908" customFormat="1" ht="33" customHeight="1" x14ac:dyDescent="0.25">
      <c r="A4" s="2012" t="s">
        <v>1642</v>
      </c>
      <c r="B4" s="1952" t="s">
        <v>374</v>
      </c>
      <c r="C4" s="1986" t="s">
        <v>1484</v>
      </c>
      <c r="D4" s="1959" t="s">
        <v>1485</v>
      </c>
      <c r="E4" s="1959" t="s">
        <v>1227</v>
      </c>
      <c r="F4" s="1959" t="s">
        <v>1486</v>
      </c>
      <c r="G4" s="1952" t="s">
        <v>1643</v>
      </c>
      <c r="H4" s="901" t="s">
        <v>1542</v>
      </c>
      <c r="I4" s="812"/>
      <c r="J4" s="813" t="s">
        <v>1397</v>
      </c>
      <c r="K4" s="814" t="s">
        <v>1397</v>
      </c>
      <c r="L4" s="814" t="s">
        <v>1397</v>
      </c>
      <c r="M4" s="814"/>
      <c r="N4" s="814"/>
      <c r="O4" s="814"/>
      <c r="P4" s="814"/>
      <c r="Q4" s="814"/>
      <c r="R4" s="814"/>
      <c r="S4" s="814"/>
      <c r="T4" s="814"/>
      <c r="U4" s="815"/>
      <c r="V4" s="1953">
        <v>0.8</v>
      </c>
      <c r="W4" s="1994" t="s">
        <v>1966</v>
      </c>
      <c r="X4" s="1964">
        <f>(V4*25%)</f>
        <v>0.2</v>
      </c>
      <c r="Y4" s="1995">
        <v>1</v>
      </c>
      <c r="Z4" s="1974">
        <v>1</v>
      </c>
      <c r="AA4" s="1982" t="s">
        <v>2129</v>
      </c>
      <c r="AB4" s="1996" t="s">
        <v>2130</v>
      </c>
      <c r="AC4" s="1995">
        <v>1</v>
      </c>
      <c r="AD4" s="1974">
        <v>1</v>
      </c>
      <c r="AE4" s="1982" t="s">
        <v>2129</v>
      </c>
      <c r="AF4" s="1996"/>
      <c r="AG4" s="1996" t="s">
        <v>2130</v>
      </c>
      <c r="AH4" s="1995">
        <v>1</v>
      </c>
      <c r="AI4" s="1974">
        <v>1</v>
      </c>
      <c r="AJ4" s="2014" t="s">
        <v>2129</v>
      </c>
      <c r="AK4" s="2017" t="s">
        <v>2854</v>
      </c>
      <c r="AL4" s="2020" t="s">
        <v>2130</v>
      </c>
      <c r="AM4" s="1995">
        <v>1</v>
      </c>
      <c r="AN4" s="1974">
        <v>1</v>
      </c>
      <c r="AO4" s="2014" t="s">
        <v>2129</v>
      </c>
      <c r="AP4" s="2017" t="s">
        <v>2854</v>
      </c>
      <c r="AQ4" s="2020" t="s">
        <v>2130</v>
      </c>
    </row>
    <row r="5" spans="1:43" s="908" customFormat="1" ht="33" customHeight="1" x14ac:dyDescent="0.25">
      <c r="A5" s="2012"/>
      <c r="B5" s="1952"/>
      <c r="C5" s="1986"/>
      <c r="D5" s="1959"/>
      <c r="E5" s="1959"/>
      <c r="F5" s="1959"/>
      <c r="G5" s="1952"/>
      <c r="H5" s="901" t="s">
        <v>1644</v>
      </c>
      <c r="I5" s="816"/>
      <c r="J5" s="817"/>
      <c r="K5" s="818" t="s">
        <v>1397</v>
      </c>
      <c r="L5" s="818" t="s">
        <v>1397</v>
      </c>
      <c r="M5" s="818"/>
      <c r="N5" s="818"/>
      <c r="O5" s="818"/>
      <c r="P5" s="818"/>
      <c r="Q5" s="818"/>
      <c r="R5" s="818"/>
      <c r="S5" s="818"/>
      <c r="T5" s="818"/>
      <c r="U5" s="819"/>
      <c r="V5" s="1954"/>
      <c r="W5" s="1994"/>
      <c r="X5" s="1964"/>
      <c r="Y5" s="1995"/>
      <c r="Z5" s="1974"/>
      <c r="AA5" s="1983"/>
      <c r="AB5" s="1997"/>
      <c r="AC5" s="1995"/>
      <c r="AD5" s="1974"/>
      <c r="AE5" s="1983"/>
      <c r="AF5" s="1997"/>
      <c r="AG5" s="1997"/>
      <c r="AH5" s="1995"/>
      <c r="AI5" s="1974"/>
      <c r="AJ5" s="2015"/>
      <c r="AK5" s="2018"/>
      <c r="AL5" s="1945"/>
      <c r="AM5" s="1995"/>
      <c r="AN5" s="1974"/>
      <c r="AO5" s="2015"/>
      <c r="AP5" s="2018"/>
      <c r="AQ5" s="1945"/>
    </row>
    <row r="6" spans="1:43" s="908" customFormat="1" ht="33" customHeight="1" x14ac:dyDescent="0.25">
      <c r="A6" s="2012"/>
      <c r="B6" s="1952"/>
      <c r="C6" s="1986"/>
      <c r="D6" s="1959"/>
      <c r="E6" s="1959"/>
      <c r="F6" s="1959"/>
      <c r="G6" s="1952"/>
      <c r="H6" s="901" t="s">
        <v>1645</v>
      </c>
      <c r="I6" s="816"/>
      <c r="J6" s="817"/>
      <c r="K6" s="818"/>
      <c r="L6" s="818"/>
      <c r="M6" s="818" t="s">
        <v>1397</v>
      </c>
      <c r="N6" s="818" t="s">
        <v>1397</v>
      </c>
      <c r="O6" s="818" t="s">
        <v>1397</v>
      </c>
      <c r="P6" s="818" t="s">
        <v>1397</v>
      </c>
      <c r="Q6" s="818" t="s">
        <v>1397</v>
      </c>
      <c r="R6" s="818"/>
      <c r="S6" s="818"/>
      <c r="T6" s="818"/>
      <c r="U6" s="819"/>
      <c r="V6" s="1954"/>
      <c r="W6" s="1994"/>
      <c r="X6" s="1964"/>
      <c r="Y6" s="1995"/>
      <c r="Z6" s="1974"/>
      <c r="AA6" s="1983"/>
      <c r="AB6" s="1997"/>
      <c r="AC6" s="1995"/>
      <c r="AD6" s="1974"/>
      <c r="AE6" s="1983"/>
      <c r="AF6" s="1997"/>
      <c r="AG6" s="1997"/>
      <c r="AH6" s="1995"/>
      <c r="AI6" s="1974"/>
      <c r="AJ6" s="2015"/>
      <c r="AK6" s="2018"/>
      <c r="AL6" s="1945"/>
      <c r="AM6" s="1995"/>
      <c r="AN6" s="1974"/>
      <c r="AO6" s="2015"/>
      <c r="AP6" s="2018"/>
      <c r="AQ6" s="1945"/>
    </row>
    <row r="7" spans="1:43" s="908" customFormat="1" ht="33" customHeight="1" x14ac:dyDescent="0.25">
      <c r="A7" s="2012"/>
      <c r="B7" s="1952"/>
      <c r="C7" s="1986"/>
      <c r="D7" s="1959"/>
      <c r="E7" s="1959"/>
      <c r="F7" s="1959"/>
      <c r="G7" s="1952"/>
      <c r="H7" s="911" t="s">
        <v>1967</v>
      </c>
      <c r="I7" s="820"/>
      <c r="J7" s="821"/>
      <c r="K7" s="822"/>
      <c r="L7" s="822"/>
      <c r="M7" s="822" t="s">
        <v>1397</v>
      </c>
      <c r="N7" s="822" t="s">
        <v>1397</v>
      </c>
      <c r="O7" s="822" t="s">
        <v>1397</v>
      </c>
      <c r="P7" s="822" t="s">
        <v>1397</v>
      </c>
      <c r="Q7" s="822" t="s">
        <v>1397</v>
      </c>
      <c r="R7" s="822"/>
      <c r="S7" s="822"/>
      <c r="T7" s="822"/>
      <c r="U7" s="823"/>
      <c r="V7" s="1954"/>
      <c r="W7" s="1994"/>
      <c r="X7" s="1964"/>
      <c r="Y7" s="1995"/>
      <c r="Z7" s="1974"/>
      <c r="AA7" s="1984"/>
      <c r="AB7" s="1998"/>
      <c r="AC7" s="1995"/>
      <c r="AD7" s="1974"/>
      <c r="AE7" s="1984"/>
      <c r="AF7" s="1998"/>
      <c r="AG7" s="1998"/>
      <c r="AH7" s="1995"/>
      <c r="AI7" s="1974"/>
      <c r="AJ7" s="2016"/>
      <c r="AK7" s="2019"/>
      <c r="AL7" s="1946"/>
      <c r="AM7" s="1995"/>
      <c r="AN7" s="1974"/>
      <c r="AO7" s="2016"/>
      <c r="AP7" s="2019"/>
      <c r="AQ7" s="1946"/>
    </row>
    <row r="8" spans="1:43" s="908" customFormat="1" ht="45" customHeight="1" x14ac:dyDescent="0.25">
      <c r="A8" s="2012"/>
      <c r="B8" s="1952"/>
      <c r="C8" s="1986" t="s">
        <v>1488</v>
      </c>
      <c r="D8" s="1959">
        <v>1</v>
      </c>
      <c r="E8" s="1959" t="s">
        <v>1491</v>
      </c>
      <c r="F8" s="1959" t="s">
        <v>2073</v>
      </c>
      <c r="G8" s="1952" t="s">
        <v>1489</v>
      </c>
      <c r="H8" s="901" t="s">
        <v>1490</v>
      </c>
      <c r="I8" s="784" t="s">
        <v>2074</v>
      </c>
      <c r="J8" s="814" t="s">
        <v>1397</v>
      </c>
      <c r="K8" s="814"/>
      <c r="L8" s="814"/>
      <c r="M8" s="814"/>
      <c r="N8" s="814"/>
      <c r="O8" s="814" t="s">
        <v>1397</v>
      </c>
      <c r="P8" s="814"/>
      <c r="Q8" s="814"/>
      <c r="R8" s="814"/>
      <c r="S8" s="814"/>
      <c r="T8" s="814"/>
      <c r="U8" s="815"/>
      <c r="V8" s="1953">
        <v>1</v>
      </c>
      <c r="W8" s="1994" t="s">
        <v>2281</v>
      </c>
      <c r="X8" s="1963">
        <v>0.25</v>
      </c>
      <c r="Y8" s="1999">
        <v>1</v>
      </c>
      <c r="Z8" s="1991">
        <v>1</v>
      </c>
      <c r="AA8" s="2000" t="s">
        <v>2622</v>
      </c>
      <c r="AB8" s="2003" t="s">
        <v>2623</v>
      </c>
      <c r="AC8" s="1999">
        <v>1</v>
      </c>
      <c r="AD8" s="1991">
        <v>1</v>
      </c>
      <c r="AE8" s="2000" t="s">
        <v>2622</v>
      </c>
      <c r="AF8" s="2000"/>
      <c r="AG8" s="2003" t="s">
        <v>2623</v>
      </c>
      <c r="AH8" s="1716">
        <v>1</v>
      </c>
      <c r="AI8" s="1991">
        <v>0.98</v>
      </c>
      <c r="AJ8" s="2021" t="s">
        <v>2622</v>
      </c>
      <c r="AK8" s="1717" t="s">
        <v>2847</v>
      </c>
      <c r="AL8" s="1942" t="s">
        <v>2855</v>
      </c>
      <c r="AM8" s="1716">
        <v>1</v>
      </c>
      <c r="AN8" s="1991">
        <v>0.98</v>
      </c>
      <c r="AO8" s="2021" t="s">
        <v>2622</v>
      </c>
      <c r="AP8" s="1817" t="s">
        <v>3012</v>
      </c>
      <c r="AQ8" s="1942"/>
    </row>
    <row r="9" spans="1:43" s="908" customFormat="1" ht="63" customHeight="1" x14ac:dyDescent="0.25">
      <c r="A9" s="2012"/>
      <c r="B9" s="1952"/>
      <c r="C9" s="1986"/>
      <c r="D9" s="1959"/>
      <c r="E9" s="1959"/>
      <c r="F9" s="1959"/>
      <c r="G9" s="1952"/>
      <c r="H9" s="901" t="s">
        <v>1543</v>
      </c>
      <c r="I9" s="784" t="s">
        <v>2075</v>
      </c>
      <c r="J9" s="818" t="s">
        <v>1397</v>
      </c>
      <c r="K9" s="818"/>
      <c r="L9" s="818"/>
      <c r="M9" s="818"/>
      <c r="N9" s="818"/>
      <c r="O9" s="818" t="s">
        <v>1397</v>
      </c>
      <c r="P9" s="818"/>
      <c r="Q9" s="818"/>
      <c r="R9" s="818"/>
      <c r="S9" s="818"/>
      <c r="T9" s="818"/>
      <c r="U9" s="819"/>
      <c r="V9" s="1954"/>
      <c r="W9" s="1994"/>
      <c r="X9" s="1963"/>
      <c r="Y9" s="1999"/>
      <c r="Z9" s="1991"/>
      <c r="AA9" s="2001"/>
      <c r="AB9" s="2004"/>
      <c r="AC9" s="1999"/>
      <c r="AD9" s="1991"/>
      <c r="AE9" s="2001"/>
      <c r="AF9" s="2001"/>
      <c r="AG9" s="2004"/>
      <c r="AH9" s="1715">
        <v>0.9</v>
      </c>
      <c r="AI9" s="1991"/>
      <c r="AJ9" s="2022"/>
      <c r="AK9" s="1718" t="s">
        <v>2848</v>
      </c>
      <c r="AL9" s="2030"/>
      <c r="AM9" s="1715">
        <v>0.9</v>
      </c>
      <c r="AN9" s="1991"/>
      <c r="AO9" s="2022"/>
      <c r="AP9" s="1818" t="s">
        <v>3013</v>
      </c>
      <c r="AQ9" s="2030"/>
    </row>
    <row r="10" spans="1:43" s="908" customFormat="1" ht="75" x14ac:dyDescent="0.25">
      <c r="A10" s="2012"/>
      <c r="B10" s="1952"/>
      <c r="C10" s="1986"/>
      <c r="D10" s="1959"/>
      <c r="E10" s="1959"/>
      <c r="F10" s="1959"/>
      <c r="G10" s="1952"/>
      <c r="H10" s="901" t="s">
        <v>1492</v>
      </c>
      <c r="I10" s="784" t="s">
        <v>2076</v>
      </c>
      <c r="J10" s="824" t="s">
        <v>1397</v>
      </c>
      <c r="K10" s="824"/>
      <c r="L10" s="824"/>
      <c r="M10" s="824"/>
      <c r="N10" s="824"/>
      <c r="O10" s="824" t="s">
        <v>1397</v>
      </c>
      <c r="P10" s="824"/>
      <c r="Q10" s="824"/>
      <c r="R10" s="824"/>
      <c r="S10" s="824"/>
      <c r="T10" s="824"/>
      <c r="U10" s="825"/>
      <c r="V10" s="1954"/>
      <c r="W10" s="1994"/>
      <c r="X10" s="1963"/>
      <c r="Y10" s="1999"/>
      <c r="Z10" s="1991"/>
      <c r="AA10" s="2001"/>
      <c r="AB10" s="2004"/>
      <c r="AC10" s="1999"/>
      <c r="AD10" s="1991"/>
      <c r="AE10" s="2001"/>
      <c r="AF10" s="2001"/>
      <c r="AG10" s="2004"/>
      <c r="AH10" s="1715">
        <v>1</v>
      </c>
      <c r="AI10" s="1991"/>
      <c r="AJ10" s="2022"/>
      <c r="AK10" s="1718" t="s">
        <v>2849</v>
      </c>
      <c r="AL10" s="2030"/>
      <c r="AM10" s="1715">
        <v>1</v>
      </c>
      <c r="AN10" s="1991"/>
      <c r="AO10" s="2022"/>
      <c r="AP10" s="1818" t="s">
        <v>3014</v>
      </c>
      <c r="AQ10" s="2030"/>
    </row>
    <row r="11" spans="1:43" s="908" customFormat="1" ht="66" customHeight="1" x14ac:dyDescent="0.25">
      <c r="A11" s="2012"/>
      <c r="B11" s="1952"/>
      <c r="C11" s="1986"/>
      <c r="D11" s="1959"/>
      <c r="E11" s="1959"/>
      <c r="F11" s="1959"/>
      <c r="G11" s="1952"/>
      <c r="H11" s="901"/>
      <c r="I11" s="784" t="s">
        <v>2077</v>
      </c>
      <c r="J11" s="822" t="s">
        <v>1397</v>
      </c>
      <c r="K11" s="822"/>
      <c r="L11" s="822"/>
      <c r="M11" s="822"/>
      <c r="N11" s="822"/>
      <c r="O11" s="822" t="s">
        <v>1397</v>
      </c>
      <c r="P11" s="822"/>
      <c r="Q11" s="822"/>
      <c r="R11" s="822"/>
      <c r="S11" s="822"/>
      <c r="T11" s="822"/>
      <c r="U11" s="823"/>
      <c r="V11" s="1954"/>
      <c r="W11" s="1994"/>
      <c r="X11" s="1963"/>
      <c r="Y11" s="1999"/>
      <c r="Z11" s="1991"/>
      <c r="AA11" s="2002"/>
      <c r="AB11" s="2005"/>
      <c r="AC11" s="1999"/>
      <c r="AD11" s="1991"/>
      <c r="AE11" s="2002"/>
      <c r="AF11" s="2002"/>
      <c r="AG11" s="2005"/>
      <c r="AH11" s="1715">
        <v>1</v>
      </c>
      <c r="AI11" s="1991"/>
      <c r="AJ11" s="2023"/>
      <c r="AK11" s="1718" t="s">
        <v>2850</v>
      </c>
      <c r="AL11" s="1943"/>
      <c r="AM11" s="1715">
        <v>1</v>
      </c>
      <c r="AN11" s="1991"/>
      <c r="AO11" s="2023"/>
      <c r="AP11" s="1818" t="s">
        <v>3015</v>
      </c>
      <c r="AQ11" s="1943"/>
    </row>
    <row r="12" spans="1:43" s="908" customFormat="1" ht="69.75" customHeight="1" x14ac:dyDescent="0.25">
      <c r="A12" s="2012"/>
      <c r="B12" s="1952"/>
      <c r="C12" s="1952" t="s">
        <v>2098</v>
      </c>
      <c r="D12" s="2013">
        <v>1</v>
      </c>
      <c r="E12" s="1959" t="s">
        <v>2100</v>
      </c>
      <c r="F12" s="1959" t="s">
        <v>2101</v>
      </c>
      <c r="G12" s="1952" t="s">
        <v>1489</v>
      </c>
      <c r="H12" s="901" t="s">
        <v>1493</v>
      </c>
      <c r="I12" s="784" t="s">
        <v>2078</v>
      </c>
      <c r="J12" s="826"/>
      <c r="K12" s="827"/>
      <c r="L12" s="827" t="s">
        <v>1397</v>
      </c>
      <c r="M12" s="827" t="s">
        <v>1397</v>
      </c>
      <c r="N12" s="827"/>
      <c r="O12" s="827"/>
      <c r="P12" s="827"/>
      <c r="Q12" s="827"/>
      <c r="R12" s="827"/>
      <c r="S12" s="827"/>
      <c r="T12" s="827"/>
      <c r="U12" s="828"/>
      <c r="V12" s="1953">
        <v>1</v>
      </c>
      <c r="W12" s="1994" t="s">
        <v>2079</v>
      </c>
      <c r="X12" s="1963">
        <f>(V12*25%)</f>
        <v>0.25</v>
      </c>
      <c r="Y12" s="2006">
        <v>0.5</v>
      </c>
      <c r="Z12" s="1991">
        <v>1</v>
      </c>
      <c r="AA12" s="1975" t="s">
        <v>2624</v>
      </c>
      <c r="AB12" s="1978" t="s">
        <v>2625</v>
      </c>
      <c r="AC12" s="2006">
        <v>0.5</v>
      </c>
      <c r="AD12" s="1991">
        <v>1</v>
      </c>
      <c r="AE12" s="1975" t="s">
        <v>2624</v>
      </c>
      <c r="AF12" s="2000"/>
      <c r="AG12" s="1978" t="s">
        <v>2625</v>
      </c>
      <c r="AH12" s="1715">
        <v>1</v>
      </c>
      <c r="AI12" s="1991">
        <v>1</v>
      </c>
      <c r="AJ12" s="2024" t="s">
        <v>2624</v>
      </c>
      <c r="AK12" s="1718" t="s">
        <v>2851</v>
      </c>
      <c r="AL12" s="2027" t="s">
        <v>3017</v>
      </c>
      <c r="AM12" s="1715">
        <v>1</v>
      </c>
      <c r="AN12" s="1991">
        <v>1</v>
      </c>
      <c r="AO12" s="2024" t="s">
        <v>2624</v>
      </c>
      <c r="AP12" s="2035" t="s">
        <v>3018</v>
      </c>
      <c r="AQ12" s="2027"/>
    </row>
    <row r="13" spans="1:43" s="908" customFormat="1" ht="51.75" customHeight="1" x14ac:dyDescent="0.25">
      <c r="A13" s="2012"/>
      <c r="B13" s="1952"/>
      <c r="C13" s="1952"/>
      <c r="D13" s="1952"/>
      <c r="E13" s="1959"/>
      <c r="F13" s="1959"/>
      <c r="G13" s="1952"/>
      <c r="H13" s="901" t="s">
        <v>1544</v>
      </c>
      <c r="I13" s="784" t="s">
        <v>2080</v>
      </c>
      <c r="J13" s="829"/>
      <c r="K13" s="830"/>
      <c r="L13" s="830"/>
      <c r="M13" s="830"/>
      <c r="N13" s="830"/>
      <c r="O13" s="830" t="s">
        <v>1397</v>
      </c>
      <c r="P13" s="830"/>
      <c r="Q13" s="830"/>
      <c r="R13" s="830"/>
      <c r="S13" s="830"/>
      <c r="T13" s="830"/>
      <c r="U13" s="831"/>
      <c r="V13" s="1953"/>
      <c r="W13" s="1994"/>
      <c r="X13" s="1963"/>
      <c r="Y13" s="2007"/>
      <c r="Z13" s="1991"/>
      <c r="AA13" s="1976"/>
      <c r="AB13" s="1979"/>
      <c r="AC13" s="2007"/>
      <c r="AD13" s="1991"/>
      <c r="AE13" s="1976"/>
      <c r="AF13" s="2001"/>
      <c r="AG13" s="1979"/>
      <c r="AH13" s="1715">
        <v>1</v>
      </c>
      <c r="AI13" s="1991"/>
      <c r="AJ13" s="2025"/>
      <c r="AK13" s="1718" t="s">
        <v>2852</v>
      </c>
      <c r="AL13" s="2028"/>
      <c r="AM13" s="1715">
        <v>1</v>
      </c>
      <c r="AN13" s="1991"/>
      <c r="AO13" s="2025"/>
      <c r="AP13" s="2036"/>
      <c r="AQ13" s="2028"/>
    </row>
    <row r="14" spans="1:43" s="908" customFormat="1" ht="45" x14ac:dyDescent="0.25">
      <c r="A14" s="2012"/>
      <c r="B14" s="1952"/>
      <c r="C14" s="1952"/>
      <c r="D14" s="1952"/>
      <c r="E14" s="1959"/>
      <c r="F14" s="1959"/>
      <c r="G14" s="1952"/>
      <c r="H14" s="901" t="s">
        <v>1242</v>
      </c>
      <c r="I14" s="784" t="s">
        <v>2081</v>
      </c>
      <c r="J14" s="832"/>
      <c r="K14" s="833"/>
      <c r="L14" s="833"/>
      <c r="M14" s="833"/>
      <c r="N14" s="833"/>
      <c r="O14" s="833" t="s">
        <v>1397</v>
      </c>
      <c r="P14" s="833" t="s">
        <v>1397</v>
      </c>
      <c r="Q14" s="833" t="s">
        <v>1397</v>
      </c>
      <c r="R14" s="833" t="s">
        <v>1397</v>
      </c>
      <c r="S14" s="833" t="s">
        <v>1397</v>
      </c>
      <c r="T14" s="833" t="s">
        <v>1397</v>
      </c>
      <c r="U14" s="834" t="s">
        <v>1397</v>
      </c>
      <c r="V14" s="1953"/>
      <c r="W14" s="1994"/>
      <c r="X14" s="1963"/>
      <c r="Y14" s="2008"/>
      <c r="Z14" s="1991"/>
      <c r="AA14" s="1977"/>
      <c r="AB14" s="1980"/>
      <c r="AC14" s="2008"/>
      <c r="AD14" s="1991"/>
      <c r="AE14" s="1977"/>
      <c r="AF14" s="2001"/>
      <c r="AG14" s="1980"/>
      <c r="AH14" s="1715">
        <v>1</v>
      </c>
      <c r="AI14" s="1991"/>
      <c r="AJ14" s="2026"/>
      <c r="AK14" s="1718" t="s">
        <v>2853</v>
      </c>
      <c r="AL14" s="2029"/>
      <c r="AM14" s="1715">
        <v>1</v>
      </c>
      <c r="AN14" s="1991"/>
      <c r="AO14" s="2026"/>
      <c r="AP14" s="2037"/>
      <c r="AQ14" s="2029"/>
    </row>
    <row r="15" spans="1:43" s="908" customFormat="1" ht="60" customHeight="1" x14ac:dyDescent="0.25">
      <c r="A15" s="2012"/>
      <c r="B15" s="1952"/>
      <c r="C15" s="1986" t="s">
        <v>2099</v>
      </c>
      <c r="D15" s="1959">
        <v>1</v>
      </c>
      <c r="E15" s="1959" t="s">
        <v>2282</v>
      </c>
      <c r="F15" s="1959" t="s">
        <v>2102</v>
      </c>
      <c r="G15" s="1952" t="s">
        <v>1489</v>
      </c>
      <c r="H15" s="912" t="s">
        <v>1546</v>
      </c>
      <c r="I15" s="784" t="s">
        <v>2082</v>
      </c>
      <c r="J15" s="826"/>
      <c r="K15" s="827"/>
      <c r="L15" s="827"/>
      <c r="M15" s="827"/>
      <c r="N15" s="827"/>
      <c r="O15" s="827"/>
      <c r="P15" s="827" t="s">
        <v>1397</v>
      </c>
      <c r="Q15" s="827" t="s">
        <v>1397</v>
      </c>
      <c r="R15" s="827" t="s">
        <v>1397</v>
      </c>
      <c r="S15" s="827" t="s">
        <v>1397</v>
      </c>
      <c r="T15" s="827" t="s">
        <v>1397</v>
      </c>
      <c r="U15" s="828" t="s">
        <v>1397</v>
      </c>
      <c r="V15" s="1954" t="s">
        <v>1906</v>
      </c>
      <c r="W15" s="1994"/>
      <c r="X15" s="1964" t="s">
        <v>1906</v>
      </c>
      <c r="Y15" s="1974">
        <v>0.5</v>
      </c>
      <c r="Z15" s="1974">
        <v>1</v>
      </c>
      <c r="AA15" s="1982" t="s">
        <v>2626</v>
      </c>
      <c r="AB15" s="1971" t="s">
        <v>2627</v>
      </c>
      <c r="AC15" s="1974">
        <v>0.5</v>
      </c>
      <c r="AD15" s="1974">
        <v>1</v>
      </c>
      <c r="AE15" s="1982" t="s">
        <v>2626</v>
      </c>
      <c r="AF15" s="1996"/>
      <c r="AG15" s="1971" t="s">
        <v>2627</v>
      </c>
      <c r="AH15" s="1974" t="s">
        <v>1906</v>
      </c>
      <c r="AI15" s="1974"/>
      <c r="AJ15" s="2014" t="s">
        <v>2856</v>
      </c>
      <c r="AK15" s="2017"/>
      <c r="AL15" s="2033" t="s">
        <v>2857</v>
      </c>
      <c r="AM15" s="1974">
        <v>1</v>
      </c>
      <c r="AN15" s="1974">
        <v>1</v>
      </c>
      <c r="AO15" s="2020" t="s">
        <v>2856</v>
      </c>
      <c r="AP15" s="1718" t="s">
        <v>2851</v>
      </c>
      <c r="AQ15" s="2033"/>
    </row>
    <row r="16" spans="1:43" s="908" customFormat="1" ht="51.75" customHeight="1" x14ac:dyDescent="0.25">
      <c r="A16" s="2012"/>
      <c r="B16" s="1952"/>
      <c r="C16" s="1986"/>
      <c r="D16" s="1959"/>
      <c r="E16" s="1959"/>
      <c r="F16" s="1959"/>
      <c r="G16" s="1952"/>
      <c r="H16" s="912" t="s">
        <v>1248</v>
      </c>
      <c r="I16" s="784" t="s">
        <v>2083</v>
      </c>
      <c r="J16" s="829"/>
      <c r="K16" s="830"/>
      <c r="L16" s="830"/>
      <c r="M16" s="830"/>
      <c r="N16" s="830"/>
      <c r="O16" s="830"/>
      <c r="P16" s="830" t="s">
        <v>1397</v>
      </c>
      <c r="Q16" s="830" t="s">
        <v>1397</v>
      </c>
      <c r="R16" s="830" t="s">
        <v>1397</v>
      </c>
      <c r="S16" s="830" t="s">
        <v>1397</v>
      </c>
      <c r="T16" s="830" t="s">
        <v>1397</v>
      </c>
      <c r="U16" s="831" t="s">
        <v>1397</v>
      </c>
      <c r="V16" s="1954"/>
      <c r="W16" s="1994"/>
      <c r="X16" s="1964"/>
      <c r="Y16" s="1974"/>
      <c r="Z16" s="1974"/>
      <c r="AA16" s="1983"/>
      <c r="AB16" s="1972"/>
      <c r="AC16" s="1974"/>
      <c r="AD16" s="1974"/>
      <c r="AE16" s="1983"/>
      <c r="AF16" s="1997"/>
      <c r="AG16" s="1972"/>
      <c r="AH16" s="1974"/>
      <c r="AI16" s="1974"/>
      <c r="AJ16" s="2015"/>
      <c r="AK16" s="2018"/>
      <c r="AL16" s="2034"/>
      <c r="AM16" s="1974"/>
      <c r="AN16" s="1974"/>
      <c r="AO16" s="1945"/>
      <c r="AP16" s="1718" t="s">
        <v>2852</v>
      </c>
      <c r="AQ16" s="2034"/>
    </row>
    <row r="17" spans="1:43" s="908" customFormat="1" ht="50.25" customHeight="1" x14ac:dyDescent="0.25">
      <c r="A17" s="2012"/>
      <c r="B17" s="1952"/>
      <c r="C17" s="1986"/>
      <c r="D17" s="1959"/>
      <c r="E17" s="1959"/>
      <c r="F17" s="1959"/>
      <c r="G17" s="1952"/>
      <c r="H17" s="912" t="s">
        <v>1242</v>
      </c>
      <c r="I17" s="784" t="s">
        <v>2084</v>
      </c>
      <c r="J17" s="835"/>
      <c r="K17" s="836"/>
      <c r="L17" s="836"/>
      <c r="M17" s="836"/>
      <c r="N17" s="836"/>
      <c r="O17" s="836"/>
      <c r="P17" s="836"/>
      <c r="Q17" s="836"/>
      <c r="R17" s="836"/>
      <c r="S17" s="836"/>
      <c r="T17" s="836" t="s">
        <v>1397</v>
      </c>
      <c r="U17" s="837" t="s">
        <v>1397</v>
      </c>
      <c r="V17" s="1954"/>
      <c r="W17" s="1994"/>
      <c r="X17" s="1964"/>
      <c r="Y17" s="1974"/>
      <c r="Z17" s="1974"/>
      <c r="AA17" s="1984"/>
      <c r="AB17" s="1973"/>
      <c r="AC17" s="1974"/>
      <c r="AD17" s="1974"/>
      <c r="AE17" s="1984"/>
      <c r="AF17" s="1997"/>
      <c r="AG17" s="1973"/>
      <c r="AH17" s="1974"/>
      <c r="AI17" s="1974"/>
      <c r="AJ17" s="2016"/>
      <c r="AK17" s="2018"/>
      <c r="AL17" s="2038"/>
      <c r="AM17" s="1974"/>
      <c r="AN17" s="1974"/>
      <c r="AO17" s="1946"/>
      <c r="AP17" s="1819" t="s">
        <v>3016</v>
      </c>
      <c r="AQ17" s="2038"/>
    </row>
    <row r="18" spans="1:43" s="908" customFormat="1" ht="48.75" customHeight="1" x14ac:dyDescent="0.25">
      <c r="A18" s="1985" t="s">
        <v>1478</v>
      </c>
      <c r="B18" s="1986" t="s">
        <v>374</v>
      </c>
      <c r="C18" s="1987" t="s">
        <v>1565</v>
      </c>
      <c r="D18" s="1987" t="s">
        <v>1566</v>
      </c>
      <c r="E18" s="1987" t="s">
        <v>1465</v>
      </c>
      <c r="F18" s="1987" t="s">
        <v>1466</v>
      </c>
      <c r="G18" s="1986" t="s">
        <v>1567</v>
      </c>
      <c r="H18" s="911" t="s">
        <v>1568</v>
      </c>
      <c r="I18" s="838"/>
      <c r="J18" s="839" t="s">
        <v>1397</v>
      </c>
      <c r="K18" s="839" t="s">
        <v>1397</v>
      </c>
      <c r="L18" s="839" t="s">
        <v>1397</v>
      </c>
      <c r="M18" s="839" t="s">
        <v>1397</v>
      </c>
      <c r="N18" s="839" t="s">
        <v>1397</v>
      </c>
      <c r="O18" s="839"/>
      <c r="P18" s="839"/>
      <c r="Q18" s="839"/>
      <c r="R18" s="839"/>
      <c r="S18" s="839"/>
      <c r="T18" s="839"/>
      <c r="U18" s="840"/>
      <c r="V18" s="1953">
        <v>1</v>
      </c>
      <c r="W18" s="1994" t="s">
        <v>1968</v>
      </c>
      <c r="X18" s="1964">
        <v>0.25</v>
      </c>
      <c r="Y18" s="1969">
        <v>1</v>
      </c>
      <c r="Z18" s="1981">
        <v>1</v>
      </c>
      <c r="AA18" s="1965" t="s">
        <v>2626</v>
      </c>
      <c r="AB18" s="1967" t="s">
        <v>2628</v>
      </c>
      <c r="AC18" s="1969">
        <v>1</v>
      </c>
      <c r="AD18" s="1981">
        <v>1</v>
      </c>
      <c r="AE18" s="1965" t="s">
        <v>2626</v>
      </c>
      <c r="AF18" s="1996"/>
      <c r="AG18" s="1967" t="s">
        <v>2628</v>
      </c>
      <c r="AH18" s="1969">
        <v>1</v>
      </c>
      <c r="AI18" s="1981">
        <v>1</v>
      </c>
      <c r="AJ18" s="2031" t="s">
        <v>2626</v>
      </c>
      <c r="AK18" s="2017"/>
      <c r="AL18" s="2033" t="s">
        <v>2628</v>
      </c>
      <c r="AM18" s="1969">
        <v>1</v>
      </c>
      <c r="AN18" s="1981">
        <v>1</v>
      </c>
      <c r="AO18" s="2031" t="s">
        <v>2626</v>
      </c>
      <c r="AP18" s="2017"/>
      <c r="AQ18" s="2033" t="s">
        <v>2628</v>
      </c>
    </row>
    <row r="19" spans="1:43" s="908" customFormat="1" x14ac:dyDescent="0.25">
      <c r="A19" s="1985"/>
      <c r="B19" s="1986"/>
      <c r="C19" s="1987"/>
      <c r="D19" s="1987"/>
      <c r="E19" s="1987"/>
      <c r="F19" s="1987"/>
      <c r="G19" s="1986"/>
      <c r="H19" s="911" t="s">
        <v>1495</v>
      </c>
      <c r="I19" s="783"/>
      <c r="J19" s="833"/>
      <c r="K19" s="833"/>
      <c r="L19" s="833"/>
      <c r="M19" s="833" t="s">
        <v>1397</v>
      </c>
      <c r="N19" s="833" t="s">
        <v>1397</v>
      </c>
      <c r="O19" s="833"/>
      <c r="P19" s="833"/>
      <c r="Q19" s="833"/>
      <c r="R19" s="833"/>
      <c r="S19" s="833"/>
      <c r="T19" s="833"/>
      <c r="U19" s="834"/>
      <c r="V19" s="1954"/>
      <c r="W19" s="1994"/>
      <c r="X19" s="1964"/>
      <c r="Y19" s="1970"/>
      <c r="Z19" s="1981"/>
      <c r="AA19" s="1966"/>
      <c r="AB19" s="1968"/>
      <c r="AC19" s="1970"/>
      <c r="AD19" s="1981"/>
      <c r="AE19" s="1966"/>
      <c r="AF19" s="1997"/>
      <c r="AG19" s="1968"/>
      <c r="AH19" s="1970"/>
      <c r="AI19" s="1981"/>
      <c r="AJ19" s="2032"/>
      <c r="AK19" s="2018"/>
      <c r="AL19" s="2034"/>
      <c r="AM19" s="1970"/>
      <c r="AN19" s="1981"/>
      <c r="AO19" s="2032"/>
      <c r="AP19" s="2018"/>
      <c r="AQ19" s="2034"/>
    </row>
    <row r="20" spans="1:43" s="908" customFormat="1" x14ac:dyDescent="0.25">
      <c r="A20" s="913" t="s">
        <v>2280</v>
      </c>
      <c r="B20" s="891"/>
      <c r="C20" s="891"/>
      <c r="D20" s="914"/>
      <c r="E20" s="891"/>
      <c r="F20" s="891"/>
      <c r="G20" s="891"/>
      <c r="H20" s="915"/>
      <c r="I20" s="854"/>
      <c r="J20" s="842"/>
      <c r="K20" s="843"/>
      <c r="L20" s="843"/>
      <c r="M20" s="843"/>
      <c r="N20" s="843"/>
      <c r="O20" s="843"/>
      <c r="P20" s="843"/>
      <c r="Q20" s="843"/>
      <c r="R20" s="843"/>
      <c r="S20" s="843"/>
      <c r="T20" s="843"/>
      <c r="U20" s="797"/>
      <c r="V20" s="853"/>
      <c r="W20" s="853"/>
      <c r="X20" s="914"/>
      <c r="Y20" s="918"/>
      <c r="Z20" s="918"/>
      <c r="AA20" s="792"/>
      <c r="AB20" s="792"/>
      <c r="AC20" s="1610"/>
      <c r="AD20" s="1610"/>
      <c r="AE20" s="792"/>
      <c r="AF20" s="792"/>
      <c r="AG20" s="792"/>
      <c r="AH20" s="1641"/>
      <c r="AI20" s="1641"/>
      <c r="AJ20" s="792"/>
      <c r="AK20" s="1709"/>
      <c r="AL20" s="792"/>
      <c r="AM20" s="1730"/>
      <c r="AN20" s="1820"/>
      <c r="AO20" s="792"/>
      <c r="AP20" s="1709"/>
      <c r="AQ20" s="792"/>
    </row>
    <row r="21" spans="1:43" s="908" customFormat="1" x14ac:dyDescent="0.25">
      <c r="A21" s="913"/>
      <c r="B21" s="891"/>
      <c r="C21" s="891"/>
      <c r="D21" s="914"/>
      <c r="E21" s="891"/>
      <c r="F21" s="891"/>
      <c r="G21" s="891"/>
      <c r="H21" s="915"/>
      <c r="I21" s="787"/>
      <c r="J21" s="845"/>
      <c r="K21" s="846"/>
      <c r="L21" s="846"/>
      <c r="M21" s="846"/>
      <c r="N21" s="846"/>
      <c r="O21" s="846"/>
      <c r="P21" s="846"/>
      <c r="Q21" s="846"/>
      <c r="R21" s="846"/>
      <c r="S21" s="846"/>
      <c r="T21" s="846"/>
      <c r="U21" s="801"/>
      <c r="V21" s="853"/>
      <c r="W21" s="853"/>
      <c r="X21" s="914"/>
      <c r="Y21" s="918"/>
      <c r="Z21" s="918"/>
      <c r="AA21" s="792"/>
      <c r="AB21" s="792"/>
      <c r="AC21" s="1610"/>
      <c r="AD21" s="1610"/>
      <c r="AE21" s="792"/>
      <c r="AF21" s="792"/>
      <c r="AG21" s="792"/>
      <c r="AH21" s="1641"/>
      <c r="AI21" s="1641"/>
      <c r="AJ21" s="792"/>
      <c r="AK21" s="1709"/>
      <c r="AL21" s="792"/>
      <c r="AM21" s="1730"/>
      <c r="AN21" s="1730"/>
      <c r="AO21" s="792"/>
      <c r="AP21" s="1709"/>
      <c r="AQ21" s="792"/>
    </row>
    <row r="22" spans="1:43" x14ac:dyDescent="0.25">
      <c r="A22" s="905"/>
      <c r="B22" s="905"/>
      <c r="C22" s="894"/>
      <c r="E22" s="894"/>
      <c r="F22" s="894"/>
      <c r="G22" s="894"/>
      <c r="H22" s="895"/>
      <c r="V22" s="897" t="s">
        <v>1969</v>
      </c>
      <c r="W22" s="897"/>
      <c r="Y22" s="731" t="s">
        <v>2412</v>
      </c>
      <c r="Z22" s="1380" t="s">
        <v>2413</v>
      </c>
      <c r="AC22" s="731" t="s">
        <v>2412</v>
      </c>
      <c r="AD22" s="1380" t="s">
        <v>2413</v>
      </c>
      <c r="AH22" s="731" t="s">
        <v>2412</v>
      </c>
      <c r="AI22" s="1380" t="s">
        <v>3021</v>
      </c>
      <c r="AM22" s="731" t="s">
        <v>2412</v>
      </c>
      <c r="AN22" s="1380" t="s">
        <v>3021</v>
      </c>
      <c r="AP22" s="1707"/>
    </row>
    <row r="23" spans="1:43" x14ac:dyDescent="0.25">
      <c r="A23" s="905"/>
      <c r="B23" s="905"/>
      <c r="C23" s="894"/>
      <c r="E23" s="894"/>
      <c r="F23" s="894"/>
      <c r="G23" s="894"/>
      <c r="H23" s="895"/>
      <c r="V23" s="897" t="s">
        <v>1971</v>
      </c>
      <c r="W23" s="916" t="s">
        <v>2127</v>
      </c>
      <c r="Y23" s="917" t="s">
        <v>2283</v>
      </c>
      <c r="Z23" s="1381"/>
      <c r="AC23" s="917" t="s">
        <v>2283</v>
      </c>
      <c r="AD23" s="1381"/>
      <c r="AH23" s="917" t="s">
        <v>2283</v>
      </c>
      <c r="AI23" s="1381"/>
      <c r="AM23" s="917" t="s">
        <v>2283</v>
      </c>
      <c r="AN23" s="1381"/>
      <c r="AP23" s="1707"/>
    </row>
    <row r="24" spans="1:43" x14ac:dyDescent="0.25">
      <c r="A24" s="905"/>
      <c r="B24" s="905"/>
      <c r="C24" s="894"/>
      <c r="E24" s="894"/>
      <c r="F24" s="894"/>
      <c r="G24" s="894"/>
      <c r="H24" s="895"/>
      <c r="V24" s="897" t="s">
        <v>2085</v>
      </c>
      <c r="W24" s="1632">
        <v>0.23799999999999999</v>
      </c>
      <c r="Y24" s="856" t="s">
        <v>2416</v>
      </c>
      <c r="Z24" s="772" t="s">
        <v>2128</v>
      </c>
      <c r="AA24" s="1472">
        <f>(100%*25%)</f>
        <v>0.25</v>
      </c>
      <c r="AC24" s="856" t="s">
        <v>2416</v>
      </c>
      <c r="AD24" s="772" t="s">
        <v>2128</v>
      </c>
      <c r="AE24" s="1472"/>
      <c r="AF24" s="1639"/>
      <c r="AH24" s="856" t="s">
        <v>2416</v>
      </c>
      <c r="AI24" s="772" t="s">
        <v>2858</v>
      </c>
      <c r="AJ24" s="1711">
        <v>0.25</v>
      </c>
      <c r="AK24" s="1710"/>
      <c r="AM24" s="856" t="s">
        <v>2416</v>
      </c>
      <c r="AN24" s="772" t="s">
        <v>2858</v>
      </c>
      <c r="AO24" s="1711">
        <v>0.25</v>
      </c>
      <c r="AP24" s="1710"/>
    </row>
    <row r="25" spans="1:43" x14ac:dyDescent="0.25">
      <c r="AP25" s="1707"/>
    </row>
    <row r="26" spans="1:43" x14ac:dyDescent="0.25">
      <c r="W26" s="910"/>
    </row>
  </sheetData>
  <mergeCells count="138">
    <mergeCell ref="AH18:AH19"/>
    <mergeCell ref="AI18:AI19"/>
    <mergeCell ref="AJ18:AJ19"/>
    <mergeCell ref="AK18:AK19"/>
    <mergeCell ref="AL18:AL19"/>
    <mergeCell ref="AH15:AH17"/>
    <mergeCell ref="AI15:AI17"/>
    <mergeCell ref="AJ15:AJ17"/>
    <mergeCell ref="AK15:AK17"/>
    <mergeCell ref="AL15:AL17"/>
    <mergeCell ref="AM18:AM19"/>
    <mergeCell ref="AN18:AN19"/>
    <mergeCell ref="AO18:AO19"/>
    <mergeCell ref="AP18:AP19"/>
    <mergeCell ref="AQ18:AQ19"/>
    <mergeCell ref="AP12:AP14"/>
    <mergeCell ref="AN12:AN14"/>
    <mergeCell ref="AO12:AO14"/>
    <mergeCell ref="AQ12:AQ14"/>
    <mergeCell ref="AM15:AM17"/>
    <mergeCell ref="AN15:AN17"/>
    <mergeCell ref="AO15:AO17"/>
    <mergeCell ref="AQ15:AQ17"/>
    <mergeCell ref="AH1:AL1"/>
    <mergeCell ref="AH4:AH7"/>
    <mergeCell ref="AI4:AI7"/>
    <mergeCell ref="AJ4:AJ7"/>
    <mergeCell ref="AK4:AK7"/>
    <mergeCell ref="AL4:AL7"/>
    <mergeCell ref="AI12:AI14"/>
    <mergeCell ref="AN8:AN11"/>
    <mergeCell ref="AO8:AO11"/>
    <mergeCell ref="AJ12:AJ14"/>
    <mergeCell ref="AL12:AL14"/>
    <mergeCell ref="AI8:AI11"/>
    <mergeCell ref="AJ8:AJ11"/>
    <mergeCell ref="AL8:AL11"/>
    <mergeCell ref="AM1:AQ1"/>
    <mergeCell ref="AM4:AM7"/>
    <mergeCell ref="AN4:AN7"/>
    <mergeCell ref="AO4:AO7"/>
    <mergeCell ref="AP4:AP7"/>
    <mergeCell ref="AQ4:AQ7"/>
    <mergeCell ref="AQ8:AQ11"/>
    <mergeCell ref="AC18:AC19"/>
    <mergeCell ref="AD18:AD19"/>
    <mergeCell ref="AE18:AE19"/>
    <mergeCell ref="AG18:AG19"/>
    <mergeCell ref="AF15:AF17"/>
    <mergeCell ref="AC15:AC17"/>
    <mergeCell ref="AD15:AD17"/>
    <mergeCell ref="AE15:AE17"/>
    <mergeCell ref="AG15:AG17"/>
    <mergeCell ref="AF18:AF19"/>
    <mergeCell ref="AC8:AC11"/>
    <mergeCell ref="AD8:AD11"/>
    <mergeCell ref="AE8:AE11"/>
    <mergeCell ref="AG8:AG11"/>
    <mergeCell ref="AC12:AC14"/>
    <mergeCell ref="AD12:AD14"/>
    <mergeCell ref="AE12:AE14"/>
    <mergeCell ref="AG12:AG14"/>
    <mergeCell ref="AF8:AF11"/>
    <mergeCell ref="AF12:AF14"/>
    <mergeCell ref="D8:D11"/>
    <mergeCell ref="E8:E11"/>
    <mergeCell ref="F8:F11"/>
    <mergeCell ref="G8:G11"/>
    <mergeCell ref="J1:U1"/>
    <mergeCell ref="A1:I1"/>
    <mergeCell ref="A4:A17"/>
    <mergeCell ref="B4:B17"/>
    <mergeCell ref="C4:C7"/>
    <mergeCell ref="D12:D14"/>
    <mergeCell ref="E12:E14"/>
    <mergeCell ref="F12:F14"/>
    <mergeCell ref="AC1:AG1"/>
    <mergeCell ref="AC4:AC7"/>
    <mergeCell ref="AD4:AD7"/>
    <mergeCell ref="AE4:AE7"/>
    <mergeCell ref="AG4:AG7"/>
    <mergeCell ref="AF4:AF7"/>
    <mergeCell ref="G18:G19"/>
    <mergeCell ref="V18:V19"/>
    <mergeCell ref="W18:W19"/>
    <mergeCell ref="W15:W17"/>
    <mergeCell ref="G12:G14"/>
    <mergeCell ref="AB4:AB7"/>
    <mergeCell ref="Y8:Y11"/>
    <mergeCell ref="AA8:AA11"/>
    <mergeCell ref="AB8:AB11"/>
    <mergeCell ref="Y12:Y14"/>
    <mergeCell ref="V12:V14"/>
    <mergeCell ref="V4:V7"/>
    <mergeCell ref="W4:W7"/>
    <mergeCell ref="V8:V11"/>
    <mergeCell ref="W8:W11"/>
    <mergeCell ref="Y4:Y7"/>
    <mergeCell ref="AA4:AA7"/>
    <mergeCell ref="X4:X7"/>
    <mergeCell ref="A18:A19"/>
    <mergeCell ref="B18:B19"/>
    <mergeCell ref="C18:C19"/>
    <mergeCell ref="D18:D19"/>
    <mergeCell ref="E18:E19"/>
    <mergeCell ref="F18:F19"/>
    <mergeCell ref="V1:X1"/>
    <mergeCell ref="Z4:Z7"/>
    <mergeCell ref="Z8:Z11"/>
    <mergeCell ref="Z12:Z14"/>
    <mergeCell ref="Y1:AB1"/>
    <mergeCell ref="W12:W14"/>
    <mergeCell ref="C15:C17"/>
    <mergeCell ref="D15:D17"/>
    <mergeCell ref="E15:E17"/>
    <mergeCell ref="F15:F17"/>
    <mergeCell ref="G15:G17"/>
    <mergeCell ref="V15:V17"/>
    <mergeCell ref="D4:D7"/>
    <mergeCell ref="E4:E7"/>
    <mergeCell ref="F4:F7"/>
    <mergeCell ref="G4:G7"/>
    <mergeCell ref="C12:C14"/>
    <mergeCell ref="C8:C11"/>
    <mergeCell ref="X8:X11"/>
    <mergeCell ref="X12:X14"/>
    <mergeCell ref="X18:X19"/>
    <mergeCell ref="AA18:AA19"/>
    <mergeCell ref="AB18:AB19"/>
    <mergeCell ref="Y18:Y19"/>
    <mergeCell ref="AB15:AB17"/>
    <mergeCell ref="Z15:Z17"/>
    <mergeCell ref="AA12:AA14"/>
    <mergeCell ref="AB12:AB14"/>
    <mergeCell ref="Z18:Z19"/>
    <mergeCell ref="Y15:Y17"/>
    <mergeCell ref="AA15:AA17"/>
    <mergeCell ref="X15:X1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P18"/>
  <sheetViews>
    <sheetView topLeftCell="C1" zoomScale="80" zoomScaleNormal="80" workbookViewId="0">
      <pane xSplit="6" ySplit="3" topLeftCell="I13" activePane="bottomRight" state="frozen"/>
      <selection activeCell="C1" sqref="C1"/>
      <selection pane="topRight" activeCell="I1" sqref="I1"/>
      <selection pane="bottomLeft" activeCell="C4" sqref="C4"/>
      <selection pane="bottomRight" activeCell="M34" sqref="M34"/>
    </sheetView>
  </sheetViews>
  <sheetFormatPr baseColWidth="10" defaultColWidth="11.5703125" defaultRowHeight="15" x14ac:dyDescent="0.25"/>
  <cols>
    <col min="1" max="1" width="20.42578125" style="790" customWidth="1"/>
    <col min="2" max="2" width="23.7109375" style="769" customWidth="1"/>
    <col min="3" max="3" width="32.140625" style="769" customWidth="1"/>
    <col min="4" max="4" width="13" style="760" customWidth="1"/>
    <col min="5" max="5" width="17" style="769" customWidth="1"/>
    <col min="6" max="6" width="21" style="769" customWidth="1"/>
    <col min="7" max="7" width="19.7109375" style="769" customWidth="1"/>
    <col min="8" max="8" width="31.42578125" style="770" customWidth="1"/>
    <col min="9" max="9" width="7.42578125" style="760" bestFit="1" customWidth="1"/>
    <col min="10" max="10" width="9.5703125" style="760" bestFit="1" customWidth="1"/>
    <col min="11" max="11" width="8" style="760" bestFit="1" customWidth="1"/>
    <col min="12" max="12" width="6.42578125" style="760" bestFit="1" customWidth="1"/>
    <col min="13" max="14" width="6.7109375" style="760" bestFit="1" customWidth="1"/>
    <col min="15" max="15" width="6.28515625" style="760" bestFit="1" customWidth="1"/>
    <col min="16" max="16" width="8.85546875" style="760" bestFit="1" customWidth="1"/>
    <col min="17" max="17" width="12.42578125" style="760" bestFit="1" customWidth="1"/>
    <col min="18" max="18" width="9.85546875" style="760" bestFit="1" customWidth="1"/>
    <col min="19" max="19" width="12.28515625" style="760" bestFit="1" customWidth="1"/>
    <col min="20" max="20" width="11.28515625" style="760" bestFit="1" customWidth="1"/>
    <col min="21" max="21" width="13.42578125" style="760" hidden="1" customWidth="1"/>
    <col min="22" max="22" width="16" style="760" hidden="1" customWidth="1"/>
    <col min="23" max="23" width="113.140625" style="760" hidden="1" customWidth="1"/>
    <col min="24" max="24" width="33.28515625" style="760" hidden="1" customWidth="1"/>
    <col min="25" max="25" width="19.7109375" style="760" hidden="1" customWidth="1"/>
    <col min="26" max="26" width="21.140625" style="760" hidden="1" customWidth="1"/>
    <col min="27" max="27" width="29.7109375" style="760" hidden="1" customWidth="1"/>
    <col min="28" max="28" width="55.5703125" style="760" hidden="1" customWidth="1"/>
    <col min="29" max="29" width="35.85546875" style="760" hidden="1" customWidth="1"/>
    <col min="30" max="30" width="18.28515625" style="760" customWidth="1"/>
    <col min="31" max="31" width="20.85546875" style="760" bestFit="1" customWidth="1"/>
    <col min="32" max="32" width="20.28515625" style="760" customWidth="1"/>
    <col min="33" max="33" width="76.28515625" style="760" customWidth="1"/>
    <col min="34" max="34" width="35.85546875" style="760" customWidth="1"/>
    <col min="35" max="36" width="11.5703125" style="760"/>
    <col min="37" max="37" width="14.42578125" style="760" customWidth="1"/>
    <col min="38" max="38" width="73.7109375" style="760" customWidth="1"/>
    <col min="39" max="39" width="47" style="760" customWidth="1"/>
    <col min="40" max="16384" width="11.5703125" style="760"/>
  </cols>
  <sheetData>
    <row r="1" spans="1:42" ht="54" customHeight="1" x14ac:dyDescent="0.25">
      <c r="A1" s="2070" t="s">
        <v>2551</v>
      </c>
      <c r="B1" s="2070"/>
      <c r="C1" s="2070"/>
      <c r="D1" s="2070"/>
      <c r="E1" s="2070"/>
      <c r="F1" s="2070"/>
      <c r="G1" s="2070"/>
      <c r="H1" s="2070"/>
      <c r="I1" s="2070" t="s">
        <v>1351</v>
      </c>
      <c r="J1" s="2070"/>
      <c r="K1" s="2070"/>
      <c r="L1" s="2070"/>
      <c r="M1" s="2070"/>
      <c r="N1" s="2070"/>
      <c r="O1" s="2070"/>
      <c r="P1" s="2070"/>
      <c r="Q1" s="2070"/>
      <c r="R1" s="2070"/>
      <c r="S1" s="2070"/>
      <c r="T1" s="2070"/>
      <c r="U1" s="2041" t="s">
        <v>2131</v>
      </c>
      <c r="V1" s="2042"/>
      <c r="W1" s="2043"/>
      <c r="X1" s="759"/>
      <c r="Y1" s="1992" t="s">
        <v>2139</v>
      </c>
      <c r="Z1" s="1993"/>
      <c r="AA1" s="1993"/>
      <c r="AB1" s="1993"/>
      <c r="AC1" s="1993"/>
      <c r="AD1" s="1992" t="s">
        <v>2631</v>
      </c>
      <c r="AE1" s="1993"/>
      <c r="AF1" s="1993"/>
      <c r="AG1" s="1993"/>
      <c r="AH1" s="1993"/>
      <c r="AI1" s="1992" t="s">
        <v>2871</v>
      </c>
      <c r="AJ1" s="1993"/>
      <c r="AK1" s="1993"/>
      <c r="AL1" s="1993"/>
      <c r="AM1" s="1993"/>
    </row>
    <row r="2" spans="1:42" x14ac:dyDescent="0.25">
      <c r="A2" s="773"/>
      <c r="B2" s="774"/>
      <c r="C2" s="775"/>
      <c r="D2" s="775"/>
      <c r="E2" s="775"/>
      <c r="F2" s="775"/>
      <c r="G2" s="776"/>
      <c r="H2" s="761"/>
      <c r="I2" s="758"/>
      <c r="J2" s="758"/>
      <c r="K2" s="758"/>
      <c r="L2" s="758"/>
      <c r="M2" s="758"/>
      <c r="N2" s="758"/>
      <c r="O2" s="758"/>
      <c r="P2" s="758"/>
      <c r="Q2" s="758"/>
      <c r="R2" s="758"/>
      <c r="S2" s="758"/>
      <c r="T2" s="762"/>
      <c r="U2" s="758"/>
      <c r="V2" s="758"/>
      <c r="W2" s="758"/>
      <c r="X2" s="758"/>
      <c r="Y2" s="750"/>
      <c r="Z2" s="750"/>
      <c r="AA2" s="750"/>
      <c r="AB2" s="750"/>
      <c r="AC2" s="750"/>
      <c r="AD2" s="750"/>
      <c r="AE2" s="750"/>
      <c r="AF2" s="750"/>
      <c r="AG2" s="750"/>
      <c r="AH2" s="750"/>
      <c r="AI2" s="750"/>
      <c r="AJ2" s="750"/>
      <c r="AK2" s="750"/>
      <c r="AL2" s="750"/>
      <c r="AM2" s="750"/>
    </row>
    <row r="3" spans="1:42" ht="69.75" customHeight="1" x14ac:dyDescent="0.25">
      <c r="A3" s="777" t="s">
        <v>1221</v>
      </c>
      <c r="B3" s="777" t="s">
        <v>47</v>
      </c>
      <c r="C3" s="811" t="s">
        <v>1461</v>
      </c>
      <c r="D3" s="811" t="s">
        <v>1</v>
      </c>
      <c r="E3" s="811" t="s">
        <v>51</v>
      </c>
      <c r="F3" s="811" t="s">
        <v>2216</v>
      </c>
      <c r="G3" s="811" t="s">
        <v>3</v>
      </c>
      <c r="H3" s="811" t="s">
        <v>1291</v>
      </c>
      <c r="I3" s="779" t="s">
        <v>1352</v>
      </c>
      <c r="J3" s="779" t="s">
        <v>1353</v>
      </c>
      <c r="K3" s="779" t="s">
        <v>1354</v>
      </c>
      <c r="L3" s="779" t="s">
        <v>1355</v>
      </c>
      <c r="M3" s="779" t="s">
        <v>1356</v>
      </c>
      <c r="N3" s="779" t="s">
        <v>1357</v>
      </c>
      <c r="O3" s="779" t="s">
        <v>1358</v>
      </c>
      <c r="P3" s="779" t="s">
        <v>1359</v>
      </c>
      <c r="Q3" s="779" t="s">
        <v>1360</v>
      </c>
      <c r="R3" s="779" t="s">
        <v>1361</v>
      </c>
      <c r="S3" s="779" t="s">
        <v>1362</v>
      </c>
      <c r="T3" s="779" t="s">
        <v>1363</v>
      </c>
      <c r="U3" s="779" t="s">
        <v>1926</v>
      </c>
      <c r="V3" s="779" t="s">
        <v>1927</v>
      </c>
      <c r="W3" s="779" t="s">
        <v>2024</v>
      </c>
      <c r="X3" s="928"/>
      <c r="Y3" s="811" t="s">
        <v>1926</v>
      </c>
      <c r="Z3" s="811" t="s">
        <v>1927</v>
      </c>
      <c r="AA3" s="811" t="s">
        <v>2126</v>
      </c>
      <c r="AB3" s="811" t="s">
        <v>2159</v>
      </c>
      <c r="AC3" s="811" t="s">
        <v>1928</v>
      </c>
      <c r="AD3" s="779" t="s">
        <v>1926</v>
      </c>
      <c r="AE3" s="779" t="s">
        <v>1927</v>
      </c>
      <c r="AF3" s="779" t="s">
        <v>2126</v>
      </c>
      <c r="AG3" s="779" t="s">
        <v>2159</v>
      </c>
      <c r="AH3" s="779" t="s">
        <v>1928</v>
      </c>
      <c r="AI3" s="779" t="s">
        <v>1926</v>
      </c>
      <c r="AJ3" s="779" t="s">
        <v>1927</v>
      </c>
      <c r="AK3" s="779" t="s">
        <v>2126</v>
      </c>
      <c r="AL3" s="779" t="s">
        <v>2159</v>
      </c>
      <c r="AM3" s="779" t="s">
        <v>1928</v>
      </c>
    </row>
    <row r="4" spans="1:42" ht="54.75" customHeight="1" x14ac:dyDescent="0.25">
      <c r="A4" s="1951" t="s">
        <v>1547</v>
      </c>
      <c r="B4" s="1986" t="s">
        <v>1548</v>
      </c>
      <c r="C4" s="2039" t="s">
        <v>1549</v>
      </c>
      <c r="D4" s="2040">
        <v>1</v>
      </c>
      <c r="E4" s="2039" t="s">
        <v>1462</v>
      </c>
      <c r="F4" s="2039" t="s">
        <v>1499</v>
      </c>
      <c r="G4" s="2039" t="s">
        <v>1550</v>
      </c>
      <c r="H4" s="781" t="s">
        <v>1546</v>
      </c>
      <c r="I4" s="926"/>
      <c r="J4" s="814" t="s">
        <v>1397</v>
      </c>
      <c r="K4" s="814" t="s">
        <v>1397</v>
      </c>
      <c r="L4" s="814"/>
      <c r="M4" s="814"/>
      <c r="N4" s="814"/>
      <c r="O4" s="814"/>
      <c r="P4" s="814"/>
      <c r="Q4" s="814"/>
      <c r="R4" s="814"/>
      <c r="S4" s="814"/>
      <c r="T4" s="815"/>
      <c r="U4" s="921">
        <v>1</v>
      </c>
      <c r="V4" s="2045">
        <v>1</v>
      </c>
      <c r="W4" s="2048" t="s">
        <v>2277</v>
      </c>
      <c r="X4" s="929"/>
      <c r="Y4" s="1590">
        <v>1</v>
      </c>
      <c r="Z4" s="2063">
        <v>1</v>
      </c>
      <c r="AA4" s="2071" t="s">
        <v>2592</v>
      </c>
      <c r="AB4" s="2071" t="s">
        <v>2591</v>
      </c>
      <c r="AC4" s="2044" t="s">
        <v>2278</v>
      </c>
      <c r="AD4" s="1590">
        <v>1</v>
      </c>
      <c r="AE4" s="2063">
        <v>1</v>
      </c>
      <c r="AF4" s="2071" t="s">
        <v>2592</v>
      </c>
      <c r="AG4" s="2077" t="s">
        <v>2775</v>
      </c>
      <c r="AH4" s="2044"/>
      <c r="AI4" s="1590">
        <v>1</v>
      </c>
      <c r="AJ4" s="2063">
        <v>1</v>
      </c>
      <c r="AK4" s="2071" t="s">
        <v>2592</v>
      </c>
      <c r="AL4" s="2083" t="s">
        <v>3019</v>
      </c>
      <c r="AM4" s="2044"/>
    </row>
    <row r="5" spans="1:42" ht="54.75" customHeight="1" x14ac:dyDescent="0.25">
      <c r="A5" s="1951"/>
      <c r="B5" s="1986"/>
      <c r="C5" s="2039"/>
      <c r="D5" s="2040"/>
      <c r="E5" s="2039"/>
      <c r="F5" s="2039"/>
      <c r="G5" s="2039"/>
      <c r="H5" s="781" t="s">
        <v>1248</v>
      </c>
      <c r="I5" s="871"/>
      <c r="J5" s="818" t="s">
        <v>1397</v>
      </c>
      <c r="K5" s="818" t="s">
        <v>1397</v>
      </c>
      <c r="L5" s="818" t="s">
        <v>1397</v>
      </c>
      <c r="M5" s="818" t="s">
        <v>1397</v>
      </c>
      <c r="N5" s="818" t="s">
        <v>1397</v>
      </c>
      <c r="O5" s="818" t="s">
        <v>1397</v>
      </c>
      <c r="P5" s="818" t="s">
        <v>1397</v>
      </c>
      <c r="Q5" s="818" t="s">
        <v>1397</v>
      </c>
      <c r="R5" s="818" t="s">
        <v>1397</v>
      </c>
      <c r="S5" s="818" t="s">
        <v>1397</v>
      </c>
      <c r="T5" s="819" t="s">
        <v>1397</v>
      </c>
      <c r="U5" s="919">
        <v>1</v>
      </c>
      <c r="V5" s="2046"/>
      <c r="W5" s="2049"/>
      <c r="X5" s="763"/>
      <c r="Y5" s="1590">
        <v>1</v>
      </c>
      <c r="Z5" s="2044"/>
      <c r="AA5" s="2072"/>
      <c r="AB5" s="2072"/>
      <c r="AC5" s="2044"/>
      <c r="AD5" s="1590">
        <v>1</v>
      </c>
      <c r="AE5" s="2044"/>
      <c r="AF5" s="2072"/>
      <c r="AG5" s="2078"/>
      <c r="AH5" s="2044"/>
      <c r="AI5" s="1590">
        <v>1</v>
      </c>
      <c r="AJ5" s="2044"/>
      <c r="AK5" s="2072"/>
      <c r="AL5" s="2084"/>
      <c r="AM5" s="2044"/>
    </row>
    <row r="6" spans="1:42" ht="54.75" customHeight="1" x14ac:dyDescent="0.25">
      <c r="A6" s="1951"/>
      <c r="B6" s="1986"/>
      <c r="C6" s="2039"/>
      <c r="D6" s="2040"/>
      <c r="E6" s="2039"/>
      <c r="F6" s="2039"/>
      <c r="G6" s="2039"/>
      <c r="H6" s="782" t="s">
        <v>1242</v>
      </c>
      <c r="I6" s="927"/>
      <c r="J6" s="822"/>
      <c r="K6" s="822"/>
      <c r="L6" s="822"/>
      <c r="M6" s="822"/>
      <c r="N6" s="822"/>
      <c r="O6" s="822"/>
      <c r="P6" s="822"/>
      <c r="Q6" s="822"/>
      <c r="R6" s="822"/>
      <c r="S6" s="822"/>
      <c r="T6" s="823" t="s">
        <v>4</v>
      </c>
      <c r="U6" s="920" t="s">
        <v>1906</v>
      </c>
      <c r="V6" s="2047"/>
      <c r="W6" s="2050"/>
      <c r="X6" s="930" t="s">
        <v>84</v>
      </c>
      <c r="Y6" s="1580" t="s">
        <v>1906</v>
      </c>
      <c r="Z6" s="2044"/>
      <c r="AA6" s="2073"/>
      <c r="AB6" s="2073"/>
      <c r="AC6" s="2044"/>
      <c r="AD6" s="1611" t="s">
        <v>1906</v>
      </c>
      <c r="AE6" s="2044"/>
      <c r="AF6" s="2073"/>
      <c r="AG6" s="2079"/>
      <c r="AH6" s="2044"/>
      <c r="AI6" s="1821" t="s">
        <v>1906</v>
      </c>
      <c r="AJ6" s="2044"/>
      <c r="AK6" s="2073"/>
      <c r="AL6" s="2084"/>
      <c r="AM6" s="2044"/>
    </row>
    <row r="7" spans="1:42" ht="35.25" customHeight="1" x14ac:dyDescent="0.25">
      <c r="A7" s="1951"/>
      <c r="B7" s="1986"/>
      <c r="C7" s="2039" t="s">
        <v>2594</v>
      </c>
      <c r="D7" s="2040" t="s">
        <v>1500</v>
      </c>
      <c r="E7" s="2039" t="s">
        <v>1502</v>
      </c>
      <c r="F7" s="2044" t="s">
        <v>1503</v>
      </c>
      <c r="G7" s="2039" t="s">
        <v>1550</v>
      </c>
      <c r="H7" s="781" t="s">
        <v>1546</v>
      </c>
      <c r="I7" s="926"/>
      <c r="J7" s="814" t="s">
        <v>1397</v>
      </c>
      <c r="K7" s="814" t="s">
        <v>1397</v>
      </c>
      <c r="L7" s="814" t="s">
        <v>1397</v>
      </c>
      <c r="M7" s="814" t="s">
        <v>1397</v>
      </c>
      <c r="N7" s="814" t="s">
        <v>1397</v>
      </c>
      <c r="O7" s="814" t="s">
        <v>1397</v>
      </c>
      <c r="P7" s="814"/>
      <c r="Q7" s="814"/>
      <c r="R7" s="814"/>
      <c r="S7" s="814"/>
      <c r="T7" s="815"/>
      <c r="U7" s="921" t="s">
        <v>1906</v>
      </c>
      <c r="V7" s="2051">
        <v>0.75600000000000001</v>
      </c>
      <c r="W7" s="2054" t="s">
        <v>2069</v>
      </c>
      <c r="X7" s="2057" t="s">
        <v>1551</v>
      </c>
      <c r="Y7" s="921">
        <v>1</v>
      </c>
      <c r="Z7" s="2063">
        <v>0.88</v>
      </c>
      <c r="AA7" s="2063" t="s">
        <v>2593</v>
      </c>
      <c r="AB7" s="2074" t="s">
        <v>2595</v>
      </c>
      <c r="AC7" s="2044" t="s">
        <v>2279</v>
      </c>
      <c r="AD7" s="921">
        <v>1</v>
      </c>
      <c r="AE7" s="2063">
        <v>0.94</v>
      </c>
      <c r="AF7" s="2063" t="s">
        <v>2593</v>
      </c>
      <c r="AG7" s="2074" t="s">
        <v>2595</v>
      </c>
      <c r="AH7" s="2039" t="s">
        <v>2790</v>
      </c>
      <c r="AI7" s="921">
        <v>1</v>
      </c>
      <c r="AJ7" s="2063">
        <v>0.94</v>
      </c>
      <c r="AK7" s="2063" t="s">
        <v>2593</v>
      </c>
      <c r="AL7" s="2085" t="s">
        <v>3020</v>
      </c>
      <c r="AM7" s="2039"/>
      <c r="AP7" s="760">
        <v>100</v>
      </c>
    </row>
    <row r="8" spans="1:42" ht="39" customHeight="1" x14ac:dyDescent="0.25">
      <c r="A8" s="1951"/>
      <c r="B8" s="1986"/>
      <c r="C8" s="2039"/>
      <c r="D8" s="2040"/>
      <c r="E8" s="2039"/>
      <c r="F8" s="2044"/>
      <c r="G8" s="2039"/>
      <c r="H8" s="781" t="s">
        <v>1248</v>
      </c>
      <c r="I8" s="871"/>
      <c r="J8" s="818" t="s">
        <v>1397</v>
      </c>
      <c r="K8" s="818" t="s">
        <v>1397</v>
      </c>
      <c r="L8" s="818" t="s">
        <v>1397</v>
      </c>
      <c r="M8" s="818" t="s">
        <v>1397</v>
      </c>
      <c r="N8" s="818" t="s">
        <v>1397</v>
      </c>
      <c r="O8" s="818" t="s">
        <v>1397</v>
      </c>
      <c r="P8" s="818"/>
      <c r="Q8" s="818"/>
      <c r="R8" s="818"/>
      <c r="S8" s="818"/>
      <c r="T8" s="819"/>
      <c r="U8" s="922">
        <v>0.75600000000000001</v>
      </c>
      <c r="V8" s="2052"/>
      <c r="W8" s="2055"/>
      <c r="X8" s="2058"/>
      <c r="Y8" s="922">
        <v>0.75600000000000001</v>
      </c>
      <c r="Z8" s="2044"/>
      <c r="AA8" s="2044"/>
      <c r="AB8" s="2075"/>
      <c r="AC8" s="2044"/>
      <c r="AD8" s="922">
        <v>0.92</v>
      </c>
      <c r="AE8" s="2044"/>
      <c r="AF8" s="2044"/>
      <c r="AG8" s="2075"/>
      <c r="AH8" s="2039"/>
      <c r="AI8" s="922">
        <v>0.92</v>
      </c>
      <c r="AJ8" s="2044"/>
      <c r="AK8" s="2044"/>
      <c r="AL8" s="2086"/>
      <c r="AM8" s="2039"/>
      <c r="AP8" s="760">
        <v>98</v>
      </c>
    </row>
    <row r="9" spans="1:42" ht="129.75" customHeight="1" x14ac:dyDescent="0.25">
      <c r="A9" s="1951"/>
      <c r="B9" s="1986"/>
      <c r="C9" s="2039"/>
      <c r="D9" s="2040"/>
      <c r="E9" s="2039"/>
      <c r="F9" s="2044"/>
      <c r="G9" s="2039"/>
      <c r="H9" s="781" t="s">
        <v>1501</v>
      </c>
      <c r="I9" s="927"/>
      <c r="J9" s="822"/>
      <c r="K9" s="822"/>
      <c r="L9" s="822"/>
      <c r="M9" s="822"/>
      <c r="N9" s="822"/>
      <c r="O9" s="822"/>
      <c r="P9" s="822"/>
      <c r="Q9" s="822"/>
      <c r="R9" s="822"/>
      <c r="S9" s="822"/>
      <c r="T9" s="823" t="s">
        <v>1397</v>
      </c>
      <c r="U9" s="920" t="s">
        <v>1906</v>
      </c>
      <c r="V9" s="2053"/>
      <c r="W9" s="2056"/>
      <c r="X9" s="2059"/>
      <c r="Y9" s="1591">
        <v>0.88500000000000001</v>
      </c>
      <c r="Z9" s="2044"/>
      <c r="AA9" s="2044"/>
      <c r="AB9" s="2076"/>
      <c r="AC9" s="2044"/>
      <c r="AD9" s="1591">
        <v>0.9</v>
      </c>
      <c r="AE9" s="2044"/>
      <c r="AF9" s="2044"/>
      <c r="AG9" s="2076"/>
      <c r="AH9" s="2039"/>
      <c r="AI9" s="1591">
        <v>0.9</v>
      </c>
      <c r="AJ9" s="2044"/>
      <c r="AK9" s="2044"/>
      <c r="AL9" s="2087"/>
      <c r="AM9" s="2039"/>
      <c r="AP9" s="760">
        <v>80</v>
      </c>
    </row>
    <row r="10" spans="1:42" ht="69.75" customHeight="1" x14ac:dyDescent="0.25">
      <c r="A10" s="1951"/>
      <c r="B10" s="1986" t="s">
        <v>1552</v>
      </c>
      <c r="C10" s="1986" t="s">
        <v>1468</v>
      </c>
      <c r="D10" s="1987" t="s">
        <v>1553</v>
      </c>
      <c r="E10" s="1986" t="s">
        <v>1463</v>
      </c>
      <c r="F10" s="1986" t="s">
        <v>1737</v>
      </c>
      <c r="G10" s="1986" t="s">
        <v>1554</v>
      </c>
      <c r="H10" s="784" t="s">
        <v>1555</v>
      </c>
      <c r="I10" s="926"/>
      <c r="J10" s="814"/>
      <c r="K10" s="814"/>
      <c r="L10" s="814"/>
      <c r="M10" s="814"/>
      <c r="N10" s="814" t="s">
        <v>1397</v>
      </c>
      <c r="O10" s="814"/>
      <c r="P10" s="814"/>
      <c r="Q10" s="814"/>
      <c r="R10" s="814"/>
      <c r="S10" s="814"/>
      <c r="T10" s="815" t="s">
        <v>1397</v>
      </c>
      <c r="U10" s="923" t="s">
        <v>1906</v>
      </c>
      <c r="V10" s="2067" t="s">
        <v>1906</v>
      </c>
      <c r="W10" s="2060" t="s">
        <v>2086</v>
      </c>
      <c r="X10" s="2057" t="s">
        <v>85</v>
      </c>
      <c r="Y10" s="2064" t="s">
        <v>2597</v>
      </c>
      <c r="Z10" s="2044" t="s">
        <v>353</v>
      </c>
      <c r="AA10" s="2071" t="s">
        <v>2598</v>
      </c>
      <c r="AB10" s="2077" t="s">
        <v>2596</v>
      </c>
      <c r="AC10" s="2044" t="s">
        <v>2599</v>
      </c>
      <c r="AD10" s="2064" t="s">
        <v>2597</v>
      </c>
      <c r="AE10" s="2044" t="s">
        <v>353</v>
      </c>
      <c r="AF10" s="2071" t="s">
        <v>2598</v>
      </c>
      <c r="AG10" s="2080" t="s">
        <v>2596</v>
      </c>
      <c r="AH10" s="2044" t="s">
        <v>2599</v>
      </c>
      <c r="AI10" s="2064" t="s">
        <v>2597</v>
      </c>
      <c r="AJ10" s="2044" t="s">
        <v>353</v>
      </c>
      <c r="AK10" s="2071" t="s">
        <v>2598</v>
      </c>
      <c r="AL10" s="2088" t="s">
        <v>2596</v>
      </c>
      <c r="AM10" s="2044" t="s">
        <v>2599</v>
      </c>
      <c r="AP10" s="760">
        <v>35</v>
      </c>
    </row>
    <row r="11" spans="1:42" ht="69.75" customHeight="1" x14ac:dyDescent="0.25">
      <c r="A11" s="1951"/>
      <c r="B11" s="1986"/>
      <c r="C11" s="1986"/>
      <c r="D11" s="1987"/>
      <c r="E11" s="1986"/>
      <c r="F11" s="1986"/>
      <c r="G11" s="1986"/>
      <c r="H11" s="784" t="s">
        <v>1248</v>
      </c>
      <c r="I11" s="871"/>
      <c r="J11" s="818"/>
      <c r="K11" s="818"/>
      <c r="L11" s="818"/>
      <c r="M11" s="818"/>
      <c r="N11" s="818" t="s">
        <v>1397</v>
      </c>
      <c r="O11" s="818"/>
      <c r="P11" s="818"/>
      <c r="Q11" s="818"/>
      <c r="R11" s="818"/>
      <c r="S11" s="818"/>
      <c r="T11" s="819" t="s">
        <v>1397</v>
      </c>
      <c r="U11" s="924" t="s">
        <v>1906</v>
      </c>
      <c r="V11" s="2068"/>
      <c r="W11" s="2061"/>
      <c r="X11" s="2058"/>
      <c r="Y11" s="2065"/>
      <c r="Z11" s="2044"/>
      <c r="AA11" s="2072"/>
      <c r="AB11" s="2078"/>
      <c r="AC11" s="2044"/>
      <c r="AD11" s="2065"/>
      <c r="AE11" s="2044"/>
      <c r="AF11" s="2072"/>
      <c r="AG11" s="2081"/>
      <c r="AH11" s="2044"/>
      <c r="AI11" s="2065"/>
      <c r="AJ11" s="2044"/>
      <c r="AK11" s="2072"/>
      <c r="AL11" s="2089"/>
      <c r="AM11" s="2044"/>
    </row>
    <row r="12" spans="1:42" ht="69.75" customHeight="1" x14ac:dyDescent="0.25">
      <c r="A12" s="1951"/>
      <c r="B12" s="1986"/>
      <c r="C12" s="1986"/>
      <c r="D12" s="1987"/>
      <c r="E12" s="1986"/>
      <c r="F12" s="1986"/>
      <c r="G12" s="1986"/>
      <c r="H12" s="785" t="s">
        <v>1504</v>
      </c>
      <c r="I12" s="871"/>
      <c r="J12" s="818"/>
      <c r="K12" s="818"/>
      <c r="L12" s="818"/>
      <c r="M12" s="818"/>
      <c r="N12" s="818" t="s">
        <v>1397</v>
      </c>
      <c r="O12" s="818"/>
      <c r="P12" s="818"/>
      <c r="Q12" s="818"/>
      <c r="R12" s="818"/>
      <c r="S12" s="818"/>
      <c r="T12" s="819" t="s">
        <v>1397</v>
      </c>
      <c r="U12" s="924" t="s">
        <v>1906</v>
      </c>
      <c r="V12" s="2068"/>
      <c r="W12" s="2061"/>
      <c r="X12" s="2058"/>
      <c r="Y12" s="2065"/>
      <c r="Z12" s="2044"/>
      <c r="AA12" s="2072"/>
      <c r="AB12" s="2078"/>
      <c r="AC12" s="2044"/>
      <c r="AD12" s="2065"/>
      <c r="AE12" s="2044"/>
      <c r="AF12" s="2072"/>
      <c r="AG12" s="2081"/>
      <c r="AH12" s="2044"/>
      <c r="AI12" s="2065"/>
      <c r="AJ12" s="2044"/>
      <c r="AK12" s="2072"/>
      <c r="AL12" s="2089"/>
      <c r="AM12" s="2044"/>
    </row>
    <row r="13" spans="1:42" ht="69.75" customHeight="1" x14ac:dyDescent="0.25">
      <c r="A13" s="1951"/>
      <c r="B13" s="1986"/>
      <c r="C13" s="1986"/>
      <c r="D13" s="1987"/>
      <c r="E13" s="1986"/>
      <c r="F13" s="1986"/>
      <c r="G13" s="1986"/>
      <c r="H13" s="785" t="s">
        <v>1505</v>
      </c>
      <c r="I13" s="871"/>
      <c r="J13" s="818"/>
      <c r="K13" s="818"/>
      <c r="L13" s="818"/>
      <c r="M13" s="818"/>
      <c r="N13" s="818" t="s">
        <v>1397</v>
      </c>
      <c r="O13" s="818"/>
      <c r="P13" s="818"/>
      <c r="Q13" s="818"/>
      <c r="R13" s="818"/>
      <c r="S13" s="818"/>
      <c r="T13" s="819" t="s">
        <v>1397</v>
      </c>
      <c r="U13" s="924" t="s">
        <v>1906</v>
      </c>
      <c r="V13" s="2068"/>
      <c r="W13" s="2061"/>
      <c r="X13" s="2058"/>
      <c r="Y13" s="2065"/>
      <c r="Z13" s="2044"/>
      <c r="AA13" s="2072"/>
      <c r="AB13" s="2078"/>
      <c r="AC13" s="2044"/>
      <c r="AD13" s="2065"/>
      <c r="AE13" s="2044"/>
      <c r="AF13" s="2072"/>
      <c r="AG13" s="2081"/>
      <c r="AH13" s="2044"/>
      <c r="AI13" s="2065"/>
      <c r="AJ13" s="2044"/>
      <c r="AK13" s="2072"/>
      <c r="AL13" s="2089"/>
      <c r="AM13" s="2044"/>
    </row>
    <row r="14" spans="1:42" ht="69.75" customHeight="1" x14ac:dyDescent="0.25">
      <c r="A14" s="1951"/>
      <c r="B14" s="1986"/>
      <c r="C14" s="1986"/>
      <c r="D14" s="1987"/>
      <c r="E14" s="1986"/>
      <c r="F14" s="1986"/>
      <c r="G14" s="1986"/>
      <c r="H14" s="785" t="s">
        <v>1506</v>
      </c>
      <c r="I14" s="927"/>
      <c r="J14" s="822"/>
      <c r="K14" s="822"/>
      <c r="L14" s="822"/>
      <c r="M14" s="822"/>
      <c r="N14" s="822" t="s">
        <v>1397</v>
      </c>
      <c r="O14" s="822"/>
      <c r="P14" s="822"/>
      <c r="Q14" s="822"/>
      <c r="R14" s="822"/>
      <c r="S14" s="822"/>
      <c r="T14" s="823" t="s">
        <v>1397</v>
      </c>
      <c r="U14" s="925" t="s">
        <v>1906</v>
      </c>
      <c r="V14" s="2069"/>
      <c r="W14" s="2062"/>
      <c r="X14" s="2059"/>
      <c r="Y14" s="2066"/>
      <c r="Z14" s="2044"/>
      <c r="AA14" s="2073"/>
      <c r="AB14" s="2079"/>
      <c r="AC14" s="2044"/>
      <c r="AD14" s="2066"/>
      <c r="AE14" s="2044"/>
      <c r="AF14" s="2073"/>
      <c r="AG14" s="2082"/>
      <c r="AH14" s="2044"/>
      <c r="AI14" s="2066"/>
      <c r="AJ14" s="2044"/>
      <c r="AK14" s="2073"/>
      <c r="AL14" s="2090"/>
      <c r="AM14" s="2044"/>
    </row>
    <row r="15" spans="1:42" x14ac:dyDescent="0.25">
      <c r="A15" s="786" t="s">
        <v>2280</v>
      </c>
      <c r="B15" s="767"/>
      <c r="C15" s="767"/>
      <c r="D15" s="759"/>
      <c r="E15" s="767"/>
      <c r="F15" s="767"/>
      <c r="G15" s="767"/>
      <c r="H15" s="749"/>
      <c r="I15" s="787"/>
      <c r="J15" s="788"/>
      <c r="K15" s="788"/>
      <c r="L15" s="788"/>
      <c r="M15" s="788"/>
      <c r="N15" s="788"/>
      <c r="O15" s="788"/>
      <c r="P15" s="788"/>
      <c r="Q15" s="788"/>
      <c r="R15" s="788"/>
      <c r="S15" s="788"/>
      <c r="T15" s="765"/>
      <c r="U15" s="765"/>
      <c r="V15" s="765"/>
      <c r="W15" s="766" t="s">
        <v>2070</v>
      </c>
      <c r="X15" s="763"/>
      <c r="Y15" s="792"/>
      <c r="Z15" s="792"/>
      <c r="AA15" s="792"/>
      <c r="AB15" s="792"/>
      <c r="AC15" s="792"/>
      <c r="AD15" s="792"/>
      <c r="AE15" s="1590">
        <v>0.97</v>
      </c>
      <c r="AF15" s="792"/>
      <c r="AG15" s="792"/>
      <c r="AH15" s="792"/>
      <c r="AI15" s="792"/>
      <c r="AJ15" s="1590">
        <v>0.97</v>
      </c>
      <c r="AK15" s="792"/>
      <c r="AL15" s="792"/>
      <c r="AM15" s="792"/>
    </row>
    <row r="16" spans="1:42" x14ac:dyDescent="0.25">
      <c r="A16" s="789"/>
      <c r="B16" s="767"/>
      <c r="C16" s="767"/>
      <c r="D16" s="759"/>
      <c r="E16" s="767"/>
      <c r="F16" s="767"/>
      <c r="G16" s="767"/>
      <c r="H16" s="749"/>
      <c r="I16" s="787"/>
      <c r="J16" s="788"/>
      <c r="K16" s="788"/>
      <c r="L16" s="788"/>
      <c r="M16" s="788"/>
      <c r="N16" s="788"/>
      <c r="O16" s="788"/>
      <c r="P16" s="788"/>
      <c r="Q16" s="788"/>
      <c r="R16" s="788"/>
      <c r="S16" s="788"/>
      <c r="T16" s="765"/>
      <c r="U16" s="765"/>
      <c r="V16" s="765"/>
      <c r="W16" s="766" t="s">
        <v>2071</v>
      </c>
      <c r="X16" s="768"/>
      <c r="Y16" s="792"/>
      <c r="Z16" s="792"/>
      <c r="AA16" s="792"/>
      <c r="AB16" s="792"/>
      <c r="AC16" s="792"/>
      <c r="AD16" s="792"/>
      <c r="AE16" s="792"/>
      <c r="AF16" s="792"/>
      <c r="AG16" s="792"/>
      <c r="AH16" s="792"/>
      <c r="AI16" s="792"/>
      <c r="AJ16" s="792"/>
      <c r="AK16" s="792"/>
      <c r="AL16" s="792"/>
      <c r="AM16" s="792"/>
    </row>
    <row r="17" spans="23:37" x14ac:dyDescent="0.25">
      <c r="W17" s="771">
        <v>0.22</v>
      </c>
      <c r="Y17" s="772" t="s">
        <v>2394</v>
      </c>
      <c r="Z17" s="772" t="s">
        <v>2411</v>
      </c>
      <c r="AA17" s="1592">
        <v>0.94</v>
      </c>
      <c r="AD17" s="772" t="s">
        <v>2394</v>
      </c>
      <c r="AE17" s="772" t="s">
        <v>3059</v>
      </c>
      <c r="AF17" s="1592"/>
      <c r="AI17" s="772" t="s">
        <v>2394</v>
      </c>
      <c r="AJ17" s="772" t="s">
        <v>2411</v>
      </c>
      <c r="AK17" s="1592"/>
    </row>
    <row r="18" spans="23:37" x14ac:dyDescent="0.25">
      <c r="Y18" s="856" t="s">
        <v>2416</v>
      </c>
      <c r="Z18" s="772" t="s">
        <v>2376</v>
      </c>
      <c r="AA18" s="1508">
        <f>(100%*25%)</f>
        <v>0.25</v>
      </c>
      <c r="AD18" s="856" t="s">
        <v>2776</v>
      </c>
      <c r="AE18" s="772" t="s">
        <v>2376</v>
      </c>
      <c r="AF18" s="1508">
        <f>(97%*25%)</f>
        <v>0.24249999999999999</v>
      </c>
      <c r="AI18" s="856" t="s">
        <v>2776</v>
      </c>
      <c r="AJ18" s="772" t="s">
        <v>2376</v>
      </c>
      <c r="AK18" s="1508">
        <f>(97%*25%)</f>
        <v>0.24249999999999999</v>
      </c>
    </row>
  </sheetData>
  <mergeCells count="71">
    <mergeCell ref="AK7:AK9"/>
    <mergeCell ref="AL7:AL9"/>
    <mergeCell ref="AM7:AM9"/>
    <mergeCell ref="AI10:AI14"/>
    <mergeCell ref="AJ10:AJ14"/>
    <mergeCell ref="AK10:AK14"/>
    <mergeCell ref="AL10:AL14"/>
    <mergeCell ref="AM10:AM14"/>
    <mergeCell ref="AE7:AE9"/>
    <mergeCell ref="AF7:AF9"/>
    <mergeCell ref="AG7:AG9"/>
    <mergeCell ref="AH7:AH9"/>
    <mergeCell ref="AJ7:AJ9"/>
    <mergeCell ref="AI1:AM1"/>
    <mergeCell ref="AJ4:AJ6"/>
    <mergeCell ref="AK4:AK6"/>
    <mergeCell ref="AL4:AL6"/>
    <mergeCell ref="AM4:AM6"/>
    <mergeCell ref="AD1:AH1"/>
    <mergeCell ref="AE4:AE6"/>
    <mergeCell ref="AF4:AF6"/>
    <mergeCell ref="AG4:AG6"/>
    <mergeCell ref="AH4:AH6"/>
    <mergeCell ref="AD10:AD14"/>
    <mergeCell ref="AE10:AE14"/>
    <mergeCell ref="AF10:AF14"/>
    <mergeCell ref="AG10:AG14"/>
    <mergeCell ref="AH10:AH14"/>
    <mergeCell ref="AA4:AA6"/>
    <mergeCell ref="AA7:AA9"/>
    <mergeCell ref="AB7:AB9"/>
    <mergeCell ref="AB10:AB14"/>
    <mergeCell ref="AA10:AA14"/>
    <mergeCell ref="AB4:AB6"/>
    <mergeCell ref="V10:V14"/>
    <mergeCell ref="A1:H1"/>
    <mergeCell ref="I1:T1"/>
    <mergeCell ref="A4:A14"/>
    <mergeCell ref="B4:B9"/>
    <mergeCell ref="C4:C6"/>
    <mergeCell ref="E7:E9"/>
    <mergeCell ref="F7:F9"/>
    <mergeCell ref="G7:G9"/>
    <mergeCell ref="D10:D14"/>
    <mergeCell ref="E10:E14"/>
    <mergeCell ref="F10:F14"/>
    <mergeCell ref="G10:G14"/>
    <mergeCell ref="B10:B14"/>
    <mergeCell ref="C10:C14"/>
    <mergeCell ref="D4:D6"/>
    <mergeCell ref="Y1:AC1"/>
    <mergeCell ref="U1:W1"/>
    <mergeCell ref="AC4:AC6"/>
    <mergeCell ref="AC7:AC9"/>
    <mergeCell ref="AC10:AC14"/>
    <mergeCell ref="V4:V6"/>
    <mergeCell ref="W4:W6"/>
    <mergeCell ref="V7:V9"/>
    <mergeCell ref="W7:W9"/>
    <mergeCell ref="X7:X9"/>
    <mergeCell ref="W10:W14"/>
    <mergeCell ref="X10:X14"/>
    <mergeCell ref="Z4:Z6"/>
    <mergeCell ref="Z7:Z9"/>
    <mergeCell ref="Z10:Z14"/>
    <mergeCell ref="Y10:Y14"/>
    <mergeCell ref="E4:E6"/>
    <mergeCell ref="F4:F6"/>
    <mergeCell ref="G4:G6"/>
    <mergeCell ref="C7:C9"/>
    <mergeCell ref="D7:D9"/>
  </mergeCells>
  <pageMargins left="0.17" right="0.17" top="0.74803149606299213" bottom="0.74803149606299213" header="0.31496062992125984" footer="0.31496062992125984"/>
  <pageSetup paperSize="132"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pageSetUpPr fitToPage="1"/>
  </sheetPr>
  <dimension ref="A1:X9"/>
  <sheetViews>
    <sheetView view="pageBreakPreview" zoomScale="85" zoomScaleNormal="85" zoomScaleSheetLayoutView="85" workbookViewId="0">
      <pane xSplit="1" ySplit="3" topLeftCell="C4" activePane="bottomRight" state="frozen"/>
      <selection pane="topRight" activeCell="B1" sqref="B1"/>
      <selection pane="bottomLeft" activeCell="A4" sqref="A4"/>
      <selection pane="bottomRight" activeCell="C4" sqref="C4:C7"/>
    </sheetView>
  </sheetViews>
  <sheetFormatPr baseColWidth="10" defaultColWidth="11.5703125" defaultRowHeight="14.25" x14ac:dyDescent="0.2"/>
  <cols>
    <col min="1" max="1" width="4" style="608" customWidth="1"/>
    <col min="2" max="2" width="5.7109375" style="608" customWidth="1"/>
    <col min="3" max="3" width="28.140625" style="568" customWidth="1"/>
    <col min="4" max="4" width="23.7109375" style="619" customWidth="1"/>
    <col min="5" max="5" width="38.28515625" style="16" customWidth="1"/>
    <col min="6" max="6" width="23.7109375" style="611" customWidth="1"/>
    <col min="7" max="7" width="23.7109375" style="673" customWidth="1"/>
    <col min="8" max="8" width="25.5703125" style="673" customWidth="1"/>
    <col min="9" max="9" width="23.7109375" style="673" customWidth="1"/>
    <col min="10" max="10" width="65.42578125" style="618" customWidth="1"/>
    <col min="11" max="12" width="11.5703125" style="611" customWidth="1"/>
    <col min="13" max="14" width="11.42578125" style="611" customWidth="1"/>
    <col min="15" max="15" width="15.28515625" style="611" customWidth="1"/>
    <col min="16" max="18" width="11.5703125" style="611" customWidth="1"/>
    <col min="19" max="19" width="14.85546875" style="611" customWidth="1"/>
    <col min="20" max="20" width="11.5703125" style="611" customWidth="1"/>
    <col min="21" max="21" width="14.85546875" style="611" customWidth="1"/>
    <col min="22" max="22" width="13.42578125" style="611" customWidth="1"/>
    <col min="23" max="23" width="23.5703125" style="611" customWidth="1"/>
    <col min="24" max="24" width="19.85546875" style="611" customWidth="1"/>
    <col min="25" max="16384" width="11.5703125" style="611"/>
  </cols>
  <sheetData>
    <row r="1" spans="1:24" ht="53.25" customHeight="1" x14ac:dyDescent="0.2">
      <c r="C1" s="2092" t="s">
        <v>1460</v>
      </c>
      <c r="D1" s="2092"/>
      <c r="E1" s="2092"/>
      <c r="F1" s="2092"/>
      <c r="G1" s="2092"/>
      <c r="H1" s="2092"/>
      <c r="I1" s="2092"/>
      <c r="J1" s="2092"/>
      <c r="K1" s="2091" t="s">
        <v>1351</v>
      </c>
      <c r="L1" s="2091"/>
      <c r="M1" s="2091"/>
      <c r="N1" s="2091"/>
      <c r="O1" s="2091"/>
      <c r="P1" s="2091"/>
      <c r="Q1" s="2091"/>
      <c r="R1" s="2091"/>
      <c r="S1" s="2091"/>
      <c r="T1" s="2091"/>
      <c r="U1" s="2091"/>
      <c r="V1" s="2091"/>
      <c r="W1" s="610"/>
    </row>
    <row r="2" spans="1:24" ht="7.5" customHeight="1" x14ac:dyDescent="0.2">
      <c r="C2" s="338"/>
      <c r="D2" s="16"/>
      <c r="E2" s="2"/>
      <c r="F2" s="2"/>
      <c r="G2" s="2"/>
      <c r="H2" s="2"/>
      <c r="I2" s="674"/>
      <c r="J2" s="612"/>
      <c r="W2" s="2"/>
    </row>
    <row r="3" spans="1:24" s="627" customFormat="1" ht="51.75" customHeight="1" x14ac:dyDescent="0.25">
      <c r="A3" s="626"/>
      <c r="B3" s="626"/>
      <c r="C3" s="613" t="s">
        <v>1221</v>
      </c>
      <c r="D3" s="613" t="s">
        <v>47</v>
      </c>
      <c r="E3" s="614" t="s">
        <v>1461</v>
      </c>
      <c r="F3" s="614" t="s">
        <v>1</v>
      </c>
      <c r="G3" s="614" t="s">
        <v>51</v>
      </c>
      <c r="H3" s="614" t="s">
        <v>2</v>
      </c>
      <c r="I3" s="675" t="s">
        <v>3</v>
      </c>
      <c r="J3" s="614" t="s">
        <v>1291</v>
      </c>
      <c r="K3" s="704" t="s">
        <v>1352</v>
      </c>
      <c r="L3" s="691" t="s">
        <v>1353</v>
      </c>
      <c r="M3" s="691" t="s">
        <v>1354</v>
      </c>
      <c r="N3" s="691" t="s">
        <v>1355</v>
      </c>
      <c r="O3" s="691" t="s">
        <v>1356</v>
      </c>
      <c r="P3" s="691" t="s">
        <v>1357</v>
      </c>
      <c r="Q3" s="691" t="s">
        <v>1358</v>
      </c>
      <c r="R3" s="691" t="s">
        <v>1359</v>
      </c>
      <c r="S3" s="691" t="s">
        <v>1360</v>
      </c>
      <c r="T3" s="691" t="s">
        <v>1361</v>
      </c>
      <c r="U3" s="691" t="s">
        <v>1362</v>
      </c>
      <c r="V3" s="691" t="s">
        <v>1363</v>
      </c>
      <c r="W3" s="615"/>
      <c r="X3" s="713"/>
    </row>
    <row r="4" spans="1:24" s="9" customFormat="1" ht="37.15" customHeight="1" thickBot="1" x14ac:dyDescent="0.25">
      <c r="A4" s="10"/>
      <c r="B4" s="10"/>
      <c r="C4" s="1862" t="s">
        <v>1480</v>
      </c>
      <c r="D4" s="1849" t="s">
        <v>374</v>
      </c>
      <c r="E4" s="1897" t="s">
        <v>1556</v>
      </c>
      <c r="F4" s="1897" t="s">
        <v>93</v>
      </c>
      <c r="G4" s="1897" t="s">
        <v>94</v>
      </c>
      <c r="H4" s="1897" t="s">
        <v>95</v>
      </c>
      <c r="I4" s="1897" t="s">
        <v>34</v>
      </c>
      <c r="J4" s="607" t="s">
        <v>1666</v>
      </c>
      <c r="K4" s="714"/>
      <c r="L4" s="694" t="s">
        <v>4</v>
      </c>
      <c r="M4" s="694" t="s">
        <v>1397</v>
      </c>
      <c r="N4" s="695"/>
      <c r="O4" s="695"/>
      <c r="P4" s="694" t="s">
        <v>1397</v>
      </c>
      <c r="Q4" s="695"/>
      <c r="R4" s="695"/>
      <c r="S4" s="694" t="s">
        <v>1397</v>
      </c>
      <c r="T4" s="695"/>
      <c r="U4" s="695"/>
      <c r="V4" s="720" t="s">
        <v>1397</v>
      </c>
      <c r="W4" s="585">
        <v>43159</v>
      </c>
      <c r="X4" s="2093" t="s">
        <v>99</v>
      </c>
    </row>
    <row r="5" spans="1:24" s="9" customFormat="1" ht="37.15" customHeight="1" thickBot="1" x14ac:dyDescent="0.25">
      <c r="A5" s="10"/>
      <c r="B5" s="10"/>
      <c r="C5" s="1862"/>
      <c r="D5" s="1849"/>
      <c r="E5" s="1897"/>
      <c r="F5" s="1897"/>
      <c r="G5" s="1897"/>
      <c r="H5" s="1897"/>
      <c r="I5" s="1897"/>
      <c r="J5" s="607" t="s">
        <v>1667</v>
      </c>
      <c r="K5" s="715"/>
      <c r="L5" s="692"/>
      <c r="M5" s="692" t="s">
        <v>1397</v>
      </c>
      <c r="N5" s="692"/>
      <c r="O5" s="692"/>
      <c r="P5" s="692" t="s">
        <v>1397</v>
      </c>
      <c r="Q5" s="692"/>
      <c r="R5" s="692"/>
      <c r="S5" s="692" t="s">
        <v>1397</v>
      </c>
      <c r="T5" s="692"/>
      <c r="U5" s="692"/>
      <c r="V5" s="698" t="s">
        <v>1397</v>
      </c>
      <c r="W5" s="585">
        <v>43174</v>
      </c>
      <c r="X5" s="2093"/>
    </row>
    <row r="6" spans="1:24" s="9" customFormat="1" ht="37.15" customHeight="1" thickBot="1" x14ac:dyDescent="0.25">
      <c r="A6" s="10"/>
      <c r="B6" s="10"/>
      <c r="C6" s="1862"/>
      <c r="D6" s="1849"/>
      <c r="E6" s="1897"/>
      <c r="F6" s="1897"/>
      <c r="G6" s="1897"/>
      <c r="H6" s="1897"/>
      <c r="I6" s="1897"/>
      <c r="J6" s="607" t="s">
        <v>1668</v>
      </c>
      <c r="K6" s="716"/>
      <c r="L6" s="693"/>
      <c r="M6" s="692" t="s">
        <v>1397</v>
      </c>
      <c r="N6" s="692"/>
      <c r="O6" s="692"/>
      <c r="P6" s="692" t="s">
        <v>1397</v>
      </c>
      <c r="Q6" s="692"/>
      <c r="R6" s="692"/>
      <c r="S6" s="692" t="s">
        <v>1397</v>
      </c>
      <c r="T6" s="692"/>
      <c r="U6" s="692" t="s">
        <v>1397</v>
      </c>
      <c r="V6" s="698" t="s">
        <v>1397</v>
      </c>
      <c r="W6" s="585">
        <v>43434</v>
      </c>
      <c r="X6" s="2093"/>
    </row>
    <row r="7" spans="1:24" s="9" customFormat="1" ht="37.15" customHeight="1" x14ac:dyDescent="0.2">
      <c r="A7" s="10"/>
      <c r="B7" s="10"/>
      <c r="C7" s="1862"/>
      <c r="D7" s="1849"/>
      <c r="E7" s="1897"/>
      <c r="F7" s="1897"/>
      <c r="G7" s="1897"/>
      <c r="H7" s="1897"/>
      <c r="I7" s="1897"/>
      <c r="J7" s="607" t="s">
        <v>1669</v>
      </c>
      <c r="K7" s="717"/>
      <c r="L7" s="696"/>
      <c r="M7" s="697" t="s">
        <v>4</v>
      </c>
      <c r="N7" s="696"/>
      <c r="O7" s="696"/>
      <c r="P7" s="697" t="s">
        <v>4</v>
      </c>
      <c r="Q7" s="697"/>
      <c r="R7" s="696"/>
      <c r="S7" s="697" t="s">
        <v>4</v>
      </c>
      <c r="T7" s="696"/>
      <c r="U7" s="696"/>
      <c r="V7" s="698" t="s">
        <v>1397</v>
      </c>
      <c r="W7" s="585">
        <v>43465</v>
      </c>
      <c r="X7" s="2093"/>
    </row>
    <row r="8" spans="1:24" s="9" customFormat="1" ht="12.75" x14ac:dyDescent="0.2">
      <c r="A8" s="10"/>
      <c r="B8" s="10"/>
      <c r="C8" s="586" t="s">
        <v>1791</v>
      </c>
      <c r="D8" s="616"/>
      <c r="E8" s="671"/>
      <c r="F8" s="624"/>
      <c r="G8" s="671"/>
      <c r="H8" s="671"/>
      <c r="I8" s="671"/>
      <c r="J8" s="669"/>
      <c r="K8" s="718"/>
      <c r="L8" s="707"/>
      <c r="M8" s="707"/>
      <c r="N8" s="707"/>
      <c r="O8" s="707"/>
      <c r="P8" s="707"/>
      <c r="Q8" s="707"/>
      <c r="R8" s="707"/>
      <c r="S8" s="707"/>
      <c r="T8" s="707"/>
      <c r="U8" s="707"/>
      <c r="V8" s="708"/>
      <c r="W8" s="705"/>
      <c r="X8" s="706"/>
    </row>
    <row r="9" spans="1:24" x14ac:dyDescent="0.2">
      <c r="C9" s="586"/>
      <c r="D9" s="616"/>
      <c r="E9" s="671"/>
      <c r="F9" s="617"/>
      <c r="G9" s="672"/>
      <c r="H9" s="672"/>
      <c r="I9" s="672"/>
      <c r="J9" s="670"/>
      <c r="K9" s="719"/>
      <c r="L9" s="711"/>
      <c r="M9" s="711"/>
      <c r="N9" s="711"/>
      <c r="O9" s="711"/>
      <c r="P9" s="711"/>
      <c r="Q9" s="711"/>
      <c r="R9" s="711"/>
      <c r="S9" s="711"/>
      <c r="T9" s="711"/>
      <c r="U9" s="711"/>
      <c r="V9" s="712"/>
      <c r="W9" s="709"/>
      <c r="X9" s="710"/>
    </row>
  </sheetData>
  <mergeCells count="10">
    <mergeCell ref="K1:V1"/>
    <mergeCell ref="C1:J1"/>
    <mergeCell ref="I4:I7"/>
    <mergeCell ref="X4:X7"/>
    <mergeCell ref="C4:C7"/>
    <mergeCell ref="D4:D7"/>
    <mergeCell ref="E4:E7"/>
    <mergeCell ref="F4:F7"/>
    <mergeCell ref="G4:G7"/>
    <mergeCell ref="H4:H7"/>
  </mergeCells>
  <pageMargins left="0.70866141732283472" right="0.70866141732283472" top="0.74803149606299213" bottom="0.74803149606299213" header="0.31496062992125984" footer="0.31496062992125984"/>
  <pageSetup scale="2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8"/>
    <pageSetUpPr fitToPage="1"/>
  </sheetPr>
  <dimension ref="A1:AN13"/>
  <sheetViews>
    <sheetView topLeftCell="C1" zoomScale="85" zoomScaleNormal="85" zoomScaleSheetLayoutView="85" workbookViewId="0">
      <pane xSplit="6" ySplit="3" topLeftCell="AC4" activePane="bottomRight" state="frozen"/>
      <selection activeCell="C1" sqref="C1"/>
      <selection pane="topRight" activeCell="I1" sqref="I1"/>
      <selection pane="bottomLeft" activeCell="C4" sqref="C4"/>
      <selection pane="bottomRight" activeCell="AC13" sqref="AC13"/>
    </sheetView>
  </sheetViews>
  <sheetFormatPr baseColWidth="10" defaultColWidth="11.5703125" defaultRowHeight="15" x14ac:dyDescent="0.25"/>
  <cols>
    <col min="1" max="1" width="17.85546875" style="904" customWidth="1"/>
    <col min="2" max="2" width="18" style="905" customWidth="1"/>
    <col min="3" max="3" width="19.5703125" style="894" customWidth="1"/>
    <col min="4" max="4" width="18.28515625" style="886" customWidth="1"/>
    <col min="5" max="5" width="18.28515625" style="894" customWidth="1"/>
    <col min="6" max="6" width="20.7109375" style="894" customWidth="1"/>
    <col min="7" max="7" width="14.140625" style="894" customWidth="1"/>
    <col min="8" max="8" width="28.7109375" style="895" customWidth="1"/>
    <col min="9" max="9" width="7" style="886" bestFit="1" customWidth="1"/>
    <col min="10" max="10" width="9" style="886" bestFit="1" customWidth="1"/>
    <col min="11" max="11" width="7.7109375" style="886" bestFit="1" customWidth="1"/>
    <col min="12" max="12" width="6" style="886" bestFit="1" customWidth="1"/>
    <col min="13" max="13" width="6.7109375" style="886" bestFit="1" customWidth="1"/>
    <col min="14" max="14" width="6.5703125" style="886" bestFit="1" customWidth="1"/>
    <col min="15" max="15" width="6" style="886" bestFit="1" customWidth="1"/>
    <col min="16" max="16" width="8.5703125" style="886" bestFit="1" customWidth="1"/>
    <col min="17" max="17" width="11.85546875" style="886" bestFit="1" customWidth="1"/>
    <col min="18" max="18" width="9.28515625" style="886" bestFit="1" customWidth="1"/>
    <col min="19" max="19" width="11.85546875" style="886" bestFit="1" customWidth="1"/>
    <col min="20" max="20" width="10.7109375" style="886" bestFit="1" customWidth="1"/>
    <col min="21" max="21" width="23.5703125" style="886" customWidth="1"/>
    <col min="22" max="22" width="19.85546875" style="886" customWidth="1"/>
    <col min="23" max="23" width="11.5703125" style="886" customWidth="1"/>
    <col min="24" max="24" width="17.7109375" style="886" customWidth="1"/>
    <col min="25" max="25" width="44.28515625" style="886" customWidth="1"/>
    <col min="26" max="26" width="7.85546875" style="886" customWidth="1"/>
    <col min="27" max="27" width="16.85546875" style="886" customWidth="1"/>
    <col min="28" max="28" width="34.28515625" style="886" customWidth="1"/>
    <col min="29" max="29" width="57.42578125" style="886" customWidth="1"/>
    <col min="30" max="30" width="33.5703125" style="886" customWidth="1"/>
    <col min="31" max="31" width="7.85546875" style="886" customWidth="1"/>
    <col min="32" max="32" width="16.85546875" style="886" bestFit="1" customWidth="1"/>
    <col min="33" max="33" width="34.28515625" style="886" customWidth="1"/>
    <col min="34" max="34" width="57.42578125" style="886" customWidth="1"/>
    <col min="35" max="35" width="33.5703125" style="886" customWidth="1"/>
    <col min="36" max="38" width="11.5703125" style="886"/>
    <col min="39" max="39" width="50.85546875" style="886" customWidth="1"/>
    <col min="40" max="16384" width="11.5703125" style="886"/>
  </cols>
  <sheetData>
    <row r="1" spans="1:40" ht="63" customHeight="1" x14ac:dyDescent="0.25">
      <c r="A1" s="2094" t="s">
        <v>2553</v>
      </c>
      <c r="B1" s="2094"/>
      <c r="C1" s="2094"/>
      <c r="D1" s="2094"/>
      <c r="E1" s="2094"/>
      <c r="F1" s="2094"/>
      <c r="G1" s="2094"/>
      <c r="H1" s="2094"/>
      <c r="I1" s="1939" t="s">
        <v>1351</v>
      </c>
      <c r="J1" s="1939"/>
      <c r="K1" s="1939"/>
      <c r="L1" s="1939"/>
      <c r="M1" s="1939"/>
      <c r="N1" s="1939"/>
      <c r="O1" s="1939"/>
      <c r="P1" s="1939"/>
      <c r="Q1" s="1939"/>
      <c r="R1" s="1939"/>
      <c r="S1" s="1939"/>
      <c r="T1" s="1939"/>
      <c r="U1" s="939"/>
      <c r="W1" s="1992" t="s">
        <v>1970</v>
      </c>
      <c r="X1" s="1993"/>
      <c r="Y1" s="1993"/>
      <c r="Z1" s="1992" t="s">
        <v>2138</v>
      </c>
      <c r="AA1" s="1993"/>
      <c r="AB1" s="1993"/>
      <c r="AC1" s="1993"/>
      <c r="AD1" s="1993"/>
      <c r="AE1" s="1992" t="s">
        <v>2630</v>
      </c>
      <c r="AF1" s="1993"/>
      <c r="AG1" s="1993"/>
      <c r="AH1" s="1993"/>
      <c r="AI1" s="1993"/>
      <c r="AJ1" s="1992" t="s">
        <v>2872</v>
      </c>
      <c r="AK1" s="1993"/>
      <c r="AL1" s="1993"/>
      <c r="AM1" s="1993"/>
      <c r="AN1" s="1993"/>
    </row>
    <row r="2" spans="1:40" ht="7.5" customHeight="1" x14ac:dyDescent="0.25">
      <c r="A2" s="900"/>
      <c r="B2" s="894"/>
      <c r="C2" s="807"/>
      <c r="D2" s="807"/>
      <c r="E2" s="807"/>
      <c r="F2" s="807"/>
      <c r="G2" s="808"/>
      <c r="H2" s="793"/>
      <c r="U2" s="807"/>
    </row>
    <row r="3" spans="1:40" s="943" customFormat="1" ht="51.75" customHeight="1" x14ac:dyDescent="0.25">
      <c r="A3" s="777" t="s">
        <v>1221</v>
      </c>
      <c r="B3" s="777" t="s">
        <v>47</v>
      </c>
      <c r="C3" s="777" t="s">
        <v>1461</v>
      </c>
      <c r="D3" s="777" t="s">
        <v>1</v>
      </c>
      <c r="E3" s="777" t="s">
        <v>51</v>
      </c>
      <c r="F3" s="777" t="s">
        <v>2216</v>
      </c>
      <c r="G3" s="777" t="s">
        <v>3</v>
      </c>
      <c r="H3" s="777" t="s">
        <v>1291</v>
      </c>
      <c r="I3" s="811" t="s">
        <v>1352</v>
      </c>
      <c r="J3" s="779" t="s">
        <v>1353</v>
      </c>
      <c r="K3" s="779" t="s">
        <v>1354</v>
      </c>
      <c r="L3" s="779" t="s">
        <v>1355</v>
      </c>
      <c r="M3" s="779" t="s">
        <v>1356</v>
      </c>
      <c r="N3" s="779" t="s">
        <v>1357</v>
      </c>
      <c r="O3" s="779" t="s">
        <v>1358</v>
      </c>
      <c r="P3" s="779" t="s">
        <v>1359</v>
      </c>
      <c r="Q3" s="779" t="s">
        <v>1360</v>
      </c>
      <c r="R3" s="779" t="s">
        <v>1361</v>
      </c>
      <c r="S3" s="779" t="s">
        <v>1362</v>
      </c>
      <c r="T3" s="779" t="s">
        <v>1363</v>
      </c>
      <c r="U3" s="780"/>
      <c r="V3" s="928"/>
      <c r="W3" s="779" t="s">
        <v>1926</v>
      </c>
      <c r="X3" s="779" t="s">
        <v>2023</v>
      </c>
      <c r="Y3" s="779" t="s">
        <v>2024</v>
      </c>
      <c r="Z3" s="777" t="s">
        <v>1926</v>
      </c>
      <c r="AA3" s="777" t="s">
        <v>1927</v>
      </c>
      <c r="AB3" s="777" t="s">
        <v>2126</v>
      </c>
      <c r="AC3" s="777" t="s">
        <v>2159</v>
      </c>
      <c r="AD3" s="777" t="s">
        <v>1928</v>
      </c>
      <c r="AE3" s="1633" t="s">
        <v>1926</v>
      </c>
      <c r="AF3" s="1633" t="s">
        <v>1927</v>
      </c>
      <c r="AG3" s="1633" t="s">
        <v>2126</v>
      </c>
      <c r="AH3" s="1633" t="s">
        <v>2159</v>
      </c>
      <c r="AI3" s="1633" t="s">
        <v>1928</v>
      </c>
      <c r="AJ3" s="1633" t="s">
        <v>1926</v>
      </c>
      <c r="AK3" s="1633" t="s">
        <v>1927</v>
      </c>
      <c r="AL3" s="1633" t="s">
        <v>2126</v>
      </c>
      <c r="AM3" s="1633" t="s">
        <v>2159</v>
      </c>
      <c r="AN3" s="1633" t="s">
        <v>1928</v>
      </c>
    </row>
    <row r="4" spans="1:40" s="908" customFormat="1" ht="60.75" customHeight="1" thickBot="1" x14ac:dyDescent="0.3">
      <c r="A4" s="2095" t="s">
        <v>1480</v>
      </c>
      <c r="B4" s="2021" t="s">
        <v>50</v>
      </c>
      <c r="C4" s="2096" t="s">
        <v>1867</v>
      </c>
      <c r="D4" s="2096" t="s">
        <v>93</v>
      </c>
      <c r="E4" s="2096" t="s">
        <v>1865</v>
      </c>
      <c r="F4" s="2096" t="s">
        <v>1866</v>
      </c>
      <c r="G4" s="2096" t="s">
        <v>34</v>
      </c>
      <c r="H4" s="789" t="s">
        <v>1666</v>
      </c>
      <c r="I4" s="944" t="s">
        <v>1397</v>
      </c>
      <c r="J4" s="944" t="s">
        <v>1397</v>
      </c>
      <c r="K4" s="945"/>
      <c r="L4" s="946"/>
      <c r="M4" s="946"/>
      <c r="N4" s="945"/>
      <c r="O4" s="946"/>
      <c r="P4" s="946"/>
      <c r="Q4" s="945"/>
      <c r="R4" s="946"/>
      <c r="S4" s="946"/>
      <c r="T4" s="947"/>
      <c r="U4" s="942">
        <v>43159</v>
      </c>
      <c r="V4" s="2101" t="s">
        <v>99</v>
      </c>
      <c r="W4" s="931">
        <v>1</v>
      </c>
      <c r="X4" s="2100">
        <v>0.93</v>
      </c>
      <c r="Y4" s="889" t="s">
        <v>2096</v>
      </c>
      <c r="Z4" s="1218">
        <v>1</v>
      </c>
      <c r="AA4" s="2099">
        <v>0.79</v>
      </c>
      <c r="AB4" s="1219" t="s">
        <v>2312</v>
      </c>
      <c r="AC4" s="759" t="s">
        <v>2311</v>
      </c>
      <c r="AD4" s="1955" t="s">
        <v>2133</v>
      </c>
      <c r="AE4" s="1218">
        <v>1</v>
      </c>
      <c r="AF4" s="2099">
        <v>0.76</v>
      </c>
      <c r="AG4" s="1219" t="s">
        <v>2312</v>
      </c>
      <c r="AH4" s="759" t="s">
        <v>2311</v>
      </c>
      <c r="AI4" s="1955" t="s">
        <v>2133</v>
      </c>
      <c r="AJ4" s="1218">
        <v>1</v>
      </c>
      <c r="AK4" s="2099">
        <v>0.93</v>
      </c>
      <c r="AL4" s="1219" t="s">
        <v>2312</v>
      </c>
      <c r="AM4" s="759" t="s">
        <v>2311</v>
      </c>
      <c r="AN4" s="1955" t="s">
        <v>2133</v>
      </c>
    </row>
    <row r="5" spans="1:40" s="908" customFormat="1" ht="158.25" customHeight="1" thickBot="1" x14ac:dyDescent="0.3">
      <c r="A5" s="2095"/>
      <c r="B5" s="2022"/>
      <c r="C5" s="2097"/>
      <c r="D5" s="2097"/>
      <c r="E5" s="2097"/>
      <c r="F5" s="2097"/>
      <c r="G5" s="2097"/>
      <c r="H5" s="789" t="s">
        <v>1667</v>
      </c>
      <c r="I5" s="948" t="s">
        <v>1397</v>
      </c>
      <c r="J5" s="949" t="s">
        <v>1397</v>
      </c>
      <c r="K5" s="949" t="s">
        <v>1397</v>
      </c>
      <c r="L5" s="949" t="s">
        <v>1397</v>
      </c>
      <c r="M5" s="949" t="s">
        <v>1397</v>
      </c>
      <c r="N5" s="949" t="s">
        <v>1397</v>
      </c>
      <c r="O5" s="949" t="s">
        <v>1397</v>
      </c>
      <c r="P5" s="949" t="s">
        <v>1397</v>
      </c>
      <c r="Q5" s="949" t="s">
        <v>1397</v>
      </c>
      <c r="R5" s="949" t="s">
        <v>1397</v>
      </c>
      <c r="S5" s="949" t="s">
        <v>1397</v>
      </c>
      <c r="T5" s="950"/>
      <c r="U5" s="942">
        <v>43174</v>
      </c>
      <c r="V5" s="2102"/>
      <c r="W5" s="932">
        <v>1</v>
      </c>
      <c r="X5" s="1955"/>
      <c r="Y5" s="759" t="s">
        <v>2314</v>
      </c>
      <c r="Z5" s="1218">
        <v>0.62</v>
      </c>
      <c r="AA5" s="1961"/>
      <c r="AB5" s="759" t="s">
        <v>2347</v>
      </c>
      <c r="AC5" s="759" t="s">
        <v>2315</v>
      </c>
      <c r="AD5" s="1955"/>
      <c r="AE5" s="1218">
        <v>0.68</v>
      </c>
      <c r="AF5" s="1961"/>
      <c r="AG5" s="759" t="s">
        <v>2632</v>
      </c>
      <c r="AH5" s="759" t="s">
        <v>2633</v>
      </c>
      <c r="AI5" s="1955"/>
      <c r="AJ5" s="1218">
        <v>0.9</v>
      </c>
      <c r="AK5" s="1961"/>
      <c r="AL5" s="759" t="s">
        <v>3023</v>
      </c>
      <c r="AM5" s="1770" t="s">
        <v>3022</v>
      </c>
      <c r="AN5" s="1955"/>
    </row>
    <row r="6" spans="1:40" s="908" customFormat="1" ht="127.5" customHeight="1" thickBot="1" x14ac:dyDescent="0.3">
      <c r="A6" s="2095"/>
      <c r="B6" s="2022"/>
      <c r="C6" s="2097"/>
      <c r="D6" s="2097"/>
      <c r="E6" s="2097"/>
      <c r="F6" s="2097"/>
      <c r="G6" s="2097"/>
      <c r="H6" s="789" t="s">
        <v>1668</v>
      </c>
      <c r="I6" s="951"/>
      <c r="J6" s="952"/>
      <c r="K6" s="949" t="s">
        <v>1397</v>
      </c>
      <c r="L6" s="949" t="s">
        <v>1397</v>
      </c>
      <c r="M6" s="949" t="s">
        <v>1397</v>
      </c>
      <c r="N6" s="949" t="s">
        <v>1397</v>
      </c>
      <c r="O6" s="949" t="s">
        <v>1397</v>
      </c>
      <c r="P6" s="949" t="s">
        <v>1397</v>
      </c>
      <c r="Q6" s="949" t="s">
        <v>1397</v>
      </c>
      <c r="R6" s="949" t="s">
        <v>1397</v>
      </c>
      <c r="S6" s="949" t="s">
        <v>1397</v>
      </c>
      <c r="T6" s="950"/>
      <c r="U6" s="942">
        <v>43434</v>
      </c>
      <c r="V6" s="2102"/>
      <c r="W6" s="932">
        <v>0.8</v>
      </c>
      <c r="X6" s="1955"/>
      <c r="Y6" s="889" t="s">
        <v>2132</v>
      </c>
      <c r="Z6" s="1218">
        <v>0.75</v>
      </c>
      <c r="AA6" s="1961"/>
      <c r="AB6" s="759"/>
      <c r="AC6" s="759" t="s">
        <v>2316</v>
      </c>
      <c r="AD6" s="1955"/>
      <c r="AE6" s="1218">
        <v>0.6</v>
      </c>
      <c r="AF6" s="1961"/>
      <c r="AG6" s="759" t="s">
        <v>2635</v>
      </c>
      <c r="AH6" s="759" t="s">
        <v>2634</v>
      </c>
      <c r="AI6" s="1955"/>
      <c r="AJ6" s="1218">
        <v>0.8</v>
      </c>
      <c r="AK6" s="1961"/>
      <c r="AL6" s="759" t="s">
        <v>2635</v>
      </c>
      <c r="AM6" s="1770" t="s">
        <v>3024</v>
      </c>
      <c r="AN6" s="1955"/>
    </row>
    <row r="7" spans="1:40" s="908" customFormat="1" ht="105" x14ac:dyDescent="0.25">
      <c r="A7" s="2095"/>
      <c r="B7" s="2023"/>
      <c r="C7" s="2098"/>
      <c r="D7" s="2098"/>
      <c r="E7" s="2098"/>
      <c r="F7" s="2098"/>
      <c r="G7" s="2098"/>
      <c r="H7" s="789" t="s">
        <v>1669</v>
      </c>
      <c r="I7" s="953"/>
      <c r="J7" s="954"/>
      <c r="K7" s="955"/>
      <c r="L7" s="954"/>
      <c r="M7" s="954"/>
      <c r="N7" s="955"/>
      <c r="O7" s="955" t="s">
        <v>1397</v>
      </c>
      <c r="P7" s="954"/>
      <c r="Q7" s="955"/>
      <c r="R7" s="954"/>
      <c r="S7" s="954"/>
      <c r="T7" s="950" t="s">
        <v>1397</v>
      </c>
      <c r="U7" s="942">
        <v>43465</v>
      </c>
      <c r="V7" s="2103"/>
      <c r="W7" s="933" t="s">
        <v>1906</v>
      </c>
      <c r="X7" s="1955"/>
      <c r="Y7" s="914"/>
      <c r="Z7" s="1218" t="s">
        <v>353</v>
      </c>
      <c r="AA7" s="1962"/>
      <c r="AB7" s="914" t="s">
        <v>2310</v>
      </c>
      <c r="AC7" s="852" t="s">
        <v>2313</v>
      </c>
      <c r="AD7" s="1955"/>
      <c r="AE7" s="1218">
        <v>0.75</v>
      </c>
      <c r="AF7" s="1962"/>
      <c r="AG7" s="759" t="s">
        <v>2637</v>
      </c>
      <c r="AH7" s="759" t="s">
        <v>2636</v>
      </c>
      <c r="AI7" s="1955"/>
      <c r="AJ7" s="1218">
        <v>1</v>
      </c>
      <c r="AK7" s="1962"/>
      <c r="AL7" s="759" t="s">
        <v>2637</v>
      </c>
      <c r="AM7" s="759" t="s">
        <v>3025</v>
      </c>
      <c r="AN7" s="1955"/>
    </row>
    <row r="8" spans="1:40" x14ac:dyDescent="0.25">
      <c r="A8" s="902" t="s">
        <v>2280</v>
      </c>
      <c r="B8" s="903"/>
      <c r="C8" s="891"/>
      <c r="D8" s="892"/>
      <c r="E8" s="891"/>
      <c r="F8" s="891"/>
      <c r="G8" s="891"/>
      <c r="H8" s="893"/>
      <c r="I8" s="934"/>
      <c r="J8" s="935"/>
      <c r="K8" s="935"/>
      <c r="L8" s="935"/>
      <c r="M8" s="935"/>
      <c r="N8" s="935"/>
      <c r="O8" s="935"/>
      <c r="P8" s="935"/>
      <c r="Q8" s="935"/>
      <c r="R8" s="935"/>
      <c r="S8" s="935"/>
      <c r="T8" s="936"/>
      <c r="U8" s="937"/>
      <c r="V8" s="938"/>
      <c r="W8" s="892"/>
      <c r="X8" s="892"/>
      <c r="Y8" s="892"/>
      <c r="Z8" s="892"/>
      <c r="AA8" s="892"/>
      <c r="AB8" s="892"/>
      <c r="AC8" s="892"/>
      <c r="AD8" s="892"/>
      <c r="AE8" s="892"/>
      <c r="AF8" s="892"/>
      <c r="AG8" s="892"/>
      <c r="AH8" s="892"/>
      <c r="AI8" s="892"/>
      <c r="AJ8" s="892"/>
      <c r="AK8" s="892"/>
      <c r="AL8" s="892"/>
      <c r="AM8" s="892"/>
      <c r="AN8" s="892"/>
    </row>
    <row r="9" spans="1:40" x14ac:dyDescent="0.25">
      <c r="A9" s="902"/>
      <c r="B9" s="903"/>
      <c r="C9" s="891"/>
      <c r="D9" s="892"/>
      <c r="E9" s="891"/>
      <c r="F9" s="891"/>
      <c r="G9" s="891"/>
      <c r="H9" s="893"/>
      <c r="I9" s="934"/>
      <c r="J9" s="935"/>
      <c r="K9" s="935"/>
      <c r="L9" s="935"/>
      <c r="M9" s="935"/>
      <c r="N9" s="935"/>
      <c r="O9" s="935"/>
      <c r="P9" s="935"/>
      <c r="Q9" s="935"/>
      <c r="R9" s="935"/>
      <c r="S9" s="935"/>
      <c r="T9" s="936"/>
      <c r="U9" s="937"/>
      <c r="V9" s="938"/>
      <c r="W9" s="892"/>
      <c r="X9" s="892"/>
      <c r="Y9" s="892"/>
      <c r="Z9" s="892"/>
      <c r="AA9" s="892"/>
      <c r="AB9" s="892"/>
      <c r="AC9" s="892"/>
      <c r="AD9" s="892"/>
      <c r="AE9" s="892"/>
      <c r="AF9" s="892"/>
      <c r="AG9" s="892"/>
      <c r="AH9" s="892"/>
      <c r="AI9" s="892"/>
      <c r="AJ9" s="892"/>
      <c r="AK9" s="892"/>
      <c r="AL9" s="892"/>
      <c r="AM9" s="892"/>
      <c r="AN9" s="892"/>
    </row>
    <row r="10" spans="1:40" x14ac:dyDescent="0.25">
      <c r="W10" s="731" t="s">
        <v>2025</v>
      </c>
      <c r="X10" s="1096" t="s">
        <v>2140</v>
      </c>
      <c r="AA10" s="732" t="s">
        <v>2410</v>
      </c>
      <c r="AB10" s="732" t="s">
        <v>2396</v>
      </c>
      <c r="AF10" s="732" t="s">
        <v>2410</v>
      </c>
      <c r="AG10" s="732" t="s">
        <v>2528</v>
      </c>
      <c r="AK10" s="732" t="s">
        <v>2410</v>
      </c>
      <c r="AL10" s="732" t="s">
        <v>2396</v>
      </c>
    </row>
    <row r="11" spans="1:40" x14ac:dyDescent="0.25">
      <c r="W11" s="731" t="s">
        <v>2026</v>
      </c>
      <c r="X11" s="731" t="s">
        <v>2027</v>
      </c>
      <c r="Y11" s="1097">
        <f>(93%*25%)</f>
        <v>0.23250000000000001</v>
      </c>
      <c r="AA11" s="856" t="s">
        <v>2417</v>
      </c>
      <c r="AB11" s="731" t="s">
        <v>2638</v>
      </c>
      <c r="AC11" s="1472">
        <f>(79%*25%)</f>
        <v>0.19750000000000001</v>
      </c>
      <c r="AF11" s="856" t="s">
        <v>2639</v>
      </c>
      <c r="AG11" s="731" t="s">
        <v>2640</v>
      </c>
      <c r="AH11" s="1515">
        <f>(76%*25%)</f>
        <v>0.19</v>
      </c>
      <c r="AK11" s="856" t="s">
        <v>2421</v>
      </c>
      <c r="AL11" s="731" t="s">
        <v>2640</v>
      </c>
      <c r="AM11" s="1515">
        <f>(93%*25%)</f>
        <v>0.23250000000000001</v>
      </c>
    </row>
    <row r="13" spans="1:40" x14ac:dyDescent="0.25">
      <c r="AB13" s="1097"/>
    </row>
  </sheetData>
  <mergeCells count="21">
    <mergeCell ref="AJ1:AN1"/>
    <mergeCell ref="AK4:AK7"/>
    <mergeCell ref="AN4:AN7"/>
    <mergeCell ref="AE1:AI1"/>
    <mergeCell ref="AF4:AF7"/>
    <mergeCell ref="AI4:AI7"/>
    <mergeCell ref="Z1:AD1"/>
    <mergeCell ref="AD4:AD7"/>
    <mergeCell ref="AA4:AA7"/>
    <mergeCell ref="X4:X7"/>
    <mergeCell ref="V4:V7"/>
    <mergeCell ref="W1:Y1"/>
    <mergeCell ref="A1:H1"/>
    <mergeCell ref="I1:T1"/>
    <mergeCell ref="A4:A7"/>
    <mergeCell ref="B4:B7"/>
    <mergeCell ref="C4:C7"/>
    <mergeCell ref="D4:D7"/>
    <mergeCell ref="E4:E7"/>
    <mergeCell ref="F4:F7"/>
    <mergeCell ref="G4:G7"/>
  </mergeCells>
  <hyperlinks>
    <hyperlink ref="AG4" r:id="rId1"/>
    <hyperlink ref="AB4" r:id="rId2"/>
    <hyperlink ref="AL4" r:id="rId3"/>
  </hyperlinks>
  <pageMargins left="0.70866141732283472" right="0.70866141732283472" top="0.74803149606299213" bottom="0.74803149606299213" header="0.31496062992125984" footer="0.31496062992125984"/>
  <pageSetup scale="29" fitToHeight="0"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9EC01A580DFC64B858D5549D954CE6A" ma:contentTypeVersion="3" ma:contentTypeDescription="Crear nuevo documento." ma:contentTypeScope="" ma:versionID="3d282c6a2d48410c6008a020356f98a7">
  <xsd:schema xmlns:xsd="http://www.w3.org/2001/XMLSchema" xmlns:xs="http://www.w3.org/2001/XMLSchema" xmlns:p="http://schemas.microsoft.com/office/2006/metadata/properties" xmlns:ns2="6f7f4dee-6573-4fec-a6e6-3d6cc2c2460a" targetNamespace="http://schemas.microsoft.com/office/2006/metadata/properties" ma:root="true" ma:fieldsID="7f71b66cf060e334b6349811d38987a7" ns2:_="">
    <xsd:import namespace="6f7f4dee-6573-4fec-a6e6-3d6cc2c2460a"/>
    <xsd:element name="properties">
      <xsd:complexType>
        <xsd:sequence>
          <xsd:element name="documentManagement">
            <xsd:complexType>
              <xsd:all>
                <xsd:element ref="ns2:Formato" minOccurs="0"/>
                <xsd:element ref="ns2:Filtro" minOccurs="0"/>
                <xsd:element ref="ns2:c4y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7f4dee-6573-4fec-a6e6-3d6cc2c2460a" elementFormDefault="qualified">
    <xsd:import namespace="http://schemas.microsoft.com/office/2006/documentManagement/types"/>
    <xsd:import namespace="http://schemas.microsoft.com/office/infopath/2007/PartnerControls"/>
    <xsd:element name="Formato" ma:index="8" nillable="true" ma:displayName="Formato"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Filtro" ma:index="9" nillable="true" ma:displayName="Filtro" ma:internalName="Filtro">
      <xsd:simpleType>
        <xsd:restriction base="dms:Text">
          <xsd:maxLength value="255"/>
        </xsd:restriction>
      </xsd:simpleType>
    </xsd:element>
    <xsd:element name="c4yw" ma:index="10" nillable="true" ma:displayName="Number" ma:internalName="c4yw">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tro xmlns="6f7f4dee-6573-4fec-a6e6-3d6cc2c2460a">2018</Filtro>
    <c4yw xmlns="6f7f4dee-6573-4fec-a6e6-3d6cc2c2460a" xsi:nil="true"/>
    <Formato xmlns="6f7f4dee-6573-4fec-a6e6-3d6cc2c2460a">/Style%20Library/Images/xls.svg</Formato>
  </documentManagement>
</p:properties>
</file>

<file path=customXml/itemProps1.xml><?xml version="1.0" encoding="utf-8"?>
<ds:datastoreItem xmlns:ds="http://schemas.openxmlformats.org/officeDocument/2006/customXml" ds:itemID="{A8314F2F-B4A8-4B42-8609-42DB532B1F13}"/>
</file>

<file path=customXml/itemProps2.xml><?xml version="1.0" encoding="utf-8"?>
<ds:datastoreItem xmlns:ds="http://schemas.openxmlformats.org/officeDocument/2006/customXml" ds:itemID="{255E4541-782A-442A-B042-064B5507891D}">
  <ds:schemaRefs>
    <ds:schemaRef ds:uri="http://schemas.microsoft.com/sharepoint/v3/contenttype/forms"/>
  </ds:schemaRefs>
</ds:datastoreItem>
</file>

<file path=customXml/itemProps3.xml><?xml version="1.0" encoding="utf-8"?>
<ds:datastoreItem xmlns:ds="http://schemas.openxmlformats.org/officeDocument/2006/customXml" ds:itemID="{2525198C-D6C8-479B-840B-4FA2ED390F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42</vt:i4>
      </vt:variant>
    </vt:vector>
  </HeadingPairs>
  <TitlesOfParts>
    <vt:vector size="80" baseType="lpstr">
      <vt:lpstr>Entregados</vt:lpstr>
      <vt:lpstr>PA 2018 - UAEAC</vt:lpstr>
      <vt:lpstr>CONSOLIDADO</vt:lpstr>
      <vt:lpstr>PRENSA DG</vt:lpstr>
      <vt:lpstr>SUBDIRECCION</vt:lpstr>
      <vt:lpstr>OAP</vt:lpstr>
      <vt:lpstr>OTA</vt:lpstr>
      <vt:lpstr>OCI INICIAL</vt:lpstr>
      <vt:lpstr>OCI</vt:lpstr>
      <vt:lpstr>CEA</vt:lpstr>
      <vt:lpstr>OAJ</vt:lpstr>
      <vt:lpstr>COMERCIALIZACIÓN</vt:lpstr>
      <vt:lpstr>OFI. REGISTRO</vt:lpstr>
      <vt:lpstr> SSO</vt:lpstr>
      <vt:lpstr>SSO DIR TEL</vt:lpstr>
      <vt:lpstr>SSO DIA</vt:lpstr>
      <vt:lpstr>SSO DSNA</vt:lpstr>
      <vt:lpstr>SSO DSA</vt:lpstr>
      <vt:lpstr>SSO GRUPO PROYECTOS</vt:lpstr>
      <vt:lpstr>SSO GRUPO PLANIFICACION AEROP</vt:lpstr>
      <vt:lpstr>SMS-QA</vt:lpstr>
      <vt:lpstr>COOR SEG SERV OPER</vt:lpstr>
      <vt:lpstr>SEC SEG OPERAC Y AVIAC CIVIL</vt:lpstr>
      <vt:lpstr>SECRETARIA GENERAL</vt:lpstr>
      <vt:lpstr>SEC GRAL DIR FRA</vt:lpstr>
      <vt:lpstr>SEC GRAL DIR ADM</vt:lpstr>
      <vt:lpstr>SEC GRAL DIR TH</vt:lpstr>
      <vt:lpstr>INFORMATICA</vt:lpstr>
      <vt:lpstr>COMPROMISOS TRANSVERSALES</vt:lpstr>
      <vt:lpstr>PA 2018 ENV AREAS </vt:lpstr>
      <vt:lpstr>MAPA PROCESOS</vt:lpstr>
      <vt:lpstr>IND PEI</vt:lpstr>
      <vt:lpstr>OBJ Y POLITICAS</vt:lpstr>
      <vt:lpstr>PNA COL INVERSIONES ANUALIZADAS</vt:lpstr>
      <vt:lpstr>INDICAD</vt:lpstr>
      <vt:lpstr>varios</vt:lpstr>
      <vt:lpstr>RESUMEN CUMP.</vt:lpstr>
      <vt:lpstr>compromisos estrategicos</vt:lpstr>
      <vt:lpstr>CEA!Área_de_impresión</vt:lpstr>
      <vt:lpstr>'COMPROMISOS TRANSVERSALES'!Área_de_impresión</vt:lpstr>
      <vt:lpstr>OAJ!Área_de_impresión</vt:lpstr>
      <vt:lpstr>OCI!Área_de_impresión</vt:lpstr>
      <vt:lpstr>'OCI INICIAL'!Área_de_impresión</vt:lpstr>
      <vt:lpstr>'OFI. REGISTRO'!Área_de_impresión</vt:lpstr>
      <vt:lpstr>'PA 2018 - UAEAC'!Área_de_impresión</vt:lpstr>
      <vt:lpstr>'PA 2018 ENV AREAS '!Área_de_impresión</vt:lpstr>
      <vt:lpstr>'PNA COL INVERSIONES ANUALIZADAS'!Área_de_impresión</vt:lpstr>
      <vt:lpstr>'PRENSA DG'!Área_de_impresión</vt:lpstr>
      <vt:lpstr>'SEC GRAL DIR ADM'!Área_de_impresión</vt:lpstr>
      <vt:lpstr>'SEC GRAL DIR FRA'!Área_de_impresión</vt:lpstr>
      <vt:lpstr>'SEC GRAL DIR TH'!Área_de_impresión</vt:lpstr>
      <vt:lpstr>'SEC SEG OPERAC Y AVIAC CIVIL'!Área_de_impresión</vt:lpstr>
      <vt:lpstr>'SECRETARIA GENERAL'!Área_de_impresión</vt:lpstr>
      <vt:lpstr>'SSO DIA'!Área_de_impresión</vt:lpstr>
      <vt:lpstr>'SSO DIR TEL'!Área_de_impresión</vt:lpstr>
      <vt:lpstr>'SSO DSA'!Área_de_impresión</vt:lpstr>
      <vt:lpstr>'SSO GRUPO PLANIFICACION AEROP'!Área_de_impresión</vt:lpstr>
      <vt:lpstr>'SSO GRUPO PROYECTOS'!Área_de_impresión</vt:lpstr>
      <vt:lpstr>SUBDIRECCION!Área_de_impresión</vt:lpstr>
      <vt:lpstr>CEA!Títulos_a_imprimir</vt:lpstr>
      <vt:lpstr>'COMPROMISOS TRANSVERSALES'!Títulos_a_imprimir</vt:lpstr>
      <vt:lpstr>OAJ!Títulos_a_imprimir</vt:lpstr>
      <vt:lpstr>OCI!Títulos_a_imprimir</vt:lpstr>
      <vt:lpstr>'OCI INICIAL'!Títulos_a_imprimir</vt:lpstr>
      <vt:lpstr>'OFI. REGISTRO'!Títulos_a_imprimir</vt:lpstr>
      <vt:lpstr>'PA 2018 - UAEAC'!Títulos_a_imprimir</vt:lpstr>
      <vt:lpstr>'PA 2018 ENV AREAS '!Títulos_a_imprimir</vt:lpstr>
      <vt:lpstr>'PNA COL INVERSIONES ANUALIZADAS'!Títulos_a_imprimir</vt:lpstr>
      <vt:lpstr>'PRENSA DG'!Títulos_a_imprimir</vt:lpstr>
      <vt:lpstr>'SEC GRAL DIR ADM'!Títulos_a_imprimir</vt:lpstr>
      <vt:lpstr>'SEC GRAL DIR FRA'!Títulos_a_imprimir</vt:lpstr>
      <vt:lpstr>'SEC GRAL DIR TH'!Títulos_a_imprimir</vt:lpstr>
      <vt:lpstr>'SEC SEG OPERAC Y AVIAC CIVIL'!Títulos_a_imprimir</vt:lpstr>
      <vt:lpstr>'SECRETARIA GENERAL'!Títulos_a_imprimir</vt:lpstr>
      <vt:lpstr>'SSO DIA'!Títulos_a_imprimir</vt:lpstr>
      <vt:lpstr>'SSO DIR TEL'!Títulos_a_imprimir</vt:lpstr>
      <vt:lpstr>'SSO DSA'!Títulos_a_imprimir</vt:lpstr>
      <vt:lpstr>'SSO GRUPO PLANIFICACION AEROP'!Títulos_a_imprimir</vt:lpstr>
      <vt:lpstr>'SSO GRUPO PROYECTOS'!Títulos_a_imprimir</vt:lpstr>
      <vt:lpstr>SUBDIRECCION!Títulos_a_imprimir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Compromisos Estratégicos a 31 diciembre 2018</dc:title>
  <dc:creator>Martha Patricia Barrera Rodriguez</dc:creator>
  <cp:lastModifiedBy>Cenaida Jerez Ruiz</cp:lastModifiedBy>
  <cp:lastPrinted>2018-07-12T14:28:10Z</cp:lastPrinted>
  <dcterms:created xsi:type="dcterms:W3CDTF">2015-01-30T15:00:04Z</dcterms:created>
  <dcterms:modified xsi:type="dcterms:W3CDTF">2019-02-11T20:18:49Z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0x01010059EC01A580DFC64B858D5549D954CE6A</vt:lpwstr>
  </property>
  <property fmtid="{D5CDD505-2E9C-101B-9397-08002B2CF9AE}" pid="3" name="c4yw">
    <vt:lpwstr/>
  </property>
  <property fmtid="{D5CDD505-2E9C-101B-9397-08002B2CF9AE}" pid="4" name="Formato">
    <vt:lpwstr>/Style%20Library/Images/xls.svg</vt:lpwstr>
  </property>
  <property fmtid="{D5CDD505-2E9C-101B-9397-08002B2CF9AE}" pid="5" name="Filtro">
    <vt:lpwstr>2018</vt:lpwstr>
  </property>
</Properties>
</file>